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<sst xmlns="http://schemas.openxmlformats.org/spreadsheetml/2006/main" count="426" uniqueCount="208">
  <si>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</si>
  <si>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</si>
  <si>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</si>
  <si>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</si>
  <si>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</si>
  <si>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</si>
  <si>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</si>
  <si>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</si>
  <si>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</si>
  <si>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</si>
  <si>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</si>
  <si>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</si>
  <si>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</si>
  <si>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</si>
  <si>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</si>
  <si>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</si>
  <si>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</si>
  <si>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</si>
  <si>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</si>
  <si>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</si>
  <si>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</si>
  <si>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</si>
  <si>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</si>
  <si>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</si>
  <si>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</si>
  <si>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</si>
  <si>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</si>
  <si>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</si>
  <si>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</si>
  <si>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</si>
  <si>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</si>
  <si>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</si>
  <si>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</si>
  <si>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</si>
  <si>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</si>
  <si>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</si>
  <si>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</si>
  <si>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</si>
  <si>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</si>
  <si>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</si>
  <si>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</si>
  <si>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</si>
  <si>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</si>
  <si>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</si>
  <si>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</si>
  <si>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</si>
  <si>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</si>
  <si>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</si>
  <si>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</si>
  <si>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</si>
  <si>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</si>
  <si>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</si>
  <si>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</si>
  <si>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</si>
  <si>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</si>
  <si>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</si>
  <si>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</si>
  <si>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</si>
  <si>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</si>
  <si>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</si>
  <si>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</si>
  <si>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</si>
  <si>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</si>
  <si>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</si>
  <si>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</si>
  <si>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</si>
  <si>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</si>
  <si>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</si>
  <si>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</si>
  <si>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</si>
  <si>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</si>
  <si>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</si>
  <si>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</si>
  <si>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</si>
  <si>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</si>
  <si>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</si>
  <si>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</si>
  <si>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</si>
  <si>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</si>
  <si>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</si>
  <si>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</si>
  <si>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</si>
  <si>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</si>
  <si>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</si>
  <si>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</si>
  <si>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</si>
  <si>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</si>
  <si>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</si>
  <si>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</si>
  <si>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</si>
  <si>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</si>
  <si>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</si>
  <si>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</si>
  <si>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</si>
  <si>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</si>
  <si>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</si>
  <si>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</si>
  <si>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</si>
  <si>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</si>
  <si>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</si>
  <si>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</si>
  <si>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</si>
  <si>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</si>
  <si>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</si>
  <si>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</si>
  <si>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</si>
  <si>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</si>
  <si>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</si>
  <si>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</si>
  <si>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</si>
  <si>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</si>
  <si>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</si>
  <si>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</si>
  <si>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</si>
  <si>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</si>
  <si>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</si>
  <si>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</si>
  <si>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</si>
  <si>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</si>
  <si>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</si>
  <si>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</si>
  <si>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</si>
  <si>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</si>
  <si>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</si>
  <si>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</si>
  <si>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</si>
  <si>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</si>
  <si>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</si>
  <si>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</si>
  <si>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</si>
  <si>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</si>
  <si>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</si>
  <si>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</si>
  <si>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</si>
  <si>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</si>
  <si>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</si>
  <si>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</si>
  <si>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</si>
  <si>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</si>
  <si>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</si>
  <si>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</si>
  <si>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</si>
  <si>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</si>
  <si>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</si>
  <si>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</si>
  <si>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</si>
  <si>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</si>
  <si>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</si>
  <si>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</si>
  <si>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</si>
  <si>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</si>
  <si>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</si>
  <si>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</si>
  <si>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</si>
  <si>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</si>
  <si>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</si>
  <si>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</si>
  <si>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</si>
  <si>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</si>
  <si>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</si>
  <si>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</si>
  <si>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</si>
  <si>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</si>
  <si>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</si>
  <si>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</si>
  <si>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</si>
  <si>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</si>
  <si>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</si>
  <si>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</si>
  <si>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</si>
  <si>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</si>
  <si>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</si>
  <si>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</si>
  <si>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</si>
  <si>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</si>
  <si>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</si>
  <si>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</si>
  <si>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</si>
  <si>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</si>
  <si>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</si>
  <si>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</si>
  <si>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</si>
  <si>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</si>
  <si>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</si>
  <si>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</si>
  <si>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</si>
  <si>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</si>
  <si>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</si>
  <si>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</si>
  <si>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</si>
  <si>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</si>
  <si>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</si>
  <si>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</si>
  <si>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</si>
  <si>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</si>
  <si>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</si>
  <si>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</si>
  <si>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</si>
  <si>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</si>
  <si>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</si>
  <si>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</si>
  <si>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</si>
  <si>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</si>
  <si>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r>
      <t>Тимчасовий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</si>
  <si>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реверс з початку року до Д/Б</t>
  </si>
  <si>
    <t>В умовах 2014 р.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</si>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</sst>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18" fillId="4" borderId="1" xfId="0" applyNumberFormat="1" applyFont="1" applyFill="1" applyBorder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7" sqref="I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95" t="s">
        <v>206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17"/>
      <c r="R1" s="118"/>
    </row>
    <row r="2" spans="2:18" s="1" customFormat="1" ht="15.75" customHeight="1">
      <c r="B2" s="196"/>
      <c r="C2" s="196"/>
      <c r="D2" s="19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7"/>
      <c r="B3" s="199" t="s">
        <v>205</v>
      </c>
      <c r="C3" s="200" t="s">
        <v>0</v>
      </c>
      <c r="D3" s="201" t="s">
        <v>190</v>
      </c>
      <c r="E3" s="40"/>
      <c r="F3" s="202" t="s">
        <v>107</v>
      </c>
      <c r="G3" s="203"/>
      <c r="H3" s="203"/>
      <c r="I3" s="203"/>
      <c r="J3" s="204"/>
      <c r="K3" s="114"/>
      <c r="L3" s="114"/>
      <c r="M3" s="205" t="s">
        <v>203</v>
      </c>
      <c r="N3" s="192" t="s">
        <v>202</v>
      </c>
      <c r="O3" s="192"/>
      <c r="P3" s="192"/>
      <c r="Q3" s="192"/>
      <c r="R3" s="192"/>
    </row>
    <row r="4" spans="1:18" ht="22.5" customHeight="1">
      <c r="A4" s="197"/>
      <c r="B4" s="199"/>
      <c r="C4" s="200"/>
      <c r="D4" s="201"/>
      <c r="E4" s="208" t="s">
        <v>199</v>
      </c>
      <c r="F4" s="193" t="s">
        <v>116</v>
      </c>
      <c r="G4" s="165" t="s">
        <v>200</v>
      </c>
      <c r="H4" s="163" t="s">
        <v>201</v>
      </c>
      <c r="I4" s="190" t="s">
        <v>186</v>
      </c>
      <c r="J4" s="186" t="s">
        <v>189</v>
      </c>
      <c r="K4" s="116" t="s">
        <v>172</v>
      </c>
      <c r="L4" s="121" t="s">
        <v>171</v>
      </c>
      <c r="M4" s="206"/>
      <c r="N4" s="188" t="s">
        <v>207</v>
      </c>
      <c r="O4" s="190" t="s">
        <v>136</v>
      </c>
      <c r="P4" s="192" t="s">
        <v>135</v>
      </c>
      <c r="Q4" s="122" t="s">
        <v>172</v>
      </c>
      <c r="R4" s="123" t="s">
        <v>171</v>
      </c>
    </row>
    <row r="5" spans="1:19" ht="92.25" customHeight="1">
      <c r="A5" s="198"/>
      <c r="B5" s="199"/>
      <c r="C5" s="200"/>
      <c r="D5" s="201"/>
      <c r="E5" s="209"/>
      <c r="F5" s="164"/>
      <c r="G5" s="162"/>
      <c r="H5" s="194"/>
      <c r="I5" s="191"/>
      <c r="J5" s="187"/>
      <c r="K5" s="183" t="s">
        <v>188</v>
      </c>
      <c r="L5" s="184"/>
      <c r="M5" s="207"/>
      <c r="N5" s="189"/>
      <c r="O5" s="191"/>
      <c r="P5" s="192"/>
      <c r="Q5" s="183" t="s">
        <v>176</v>
      </c>
      <c r="R5" s="184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46903.369999999995</v>
      </c>
      <c r="F8" s="112">
        <f>F10+F19+F33+F56+F68+F30</f>
        <v>38137.08</v>
      </c>
      <c r="G8" s="18">
        <f aca="true" t="shared" si="0" ref="G8:G30">F8-E8</f>
        <v>-8766.289999999994</v>
      </c>
      <c r="H8" s="45">
        <f>F8/E8*100</f>
        <v>81.30989308444148</v>
      </c>
      <c r="I8" s="31">
        <f aca="true" t="shared" si="1" ref="I8:I17">F8-D8</f>
        <v>-151633.62</v>
      </c>
      <c r="J8" s="31">
        <f aca="true" t="shared" si="2" ref="J8:J14">F8/D8*100</f>
        <v>20.096400550769957</v>
      </c>
      <c r="K8" s="31">
        <f>F8-33748.2</f>
        <v>4388.880000000005</v>
      </c>
      <c r="L8" s="31">
        <f>F8/33748.2*100</f>
        <v>113.00478247728769</v>
      </c>
      <c r="M8" s="18">
        <f>M10+M19+M33+M56+M68+M30</f>
        <v>28225.42</v>
      </c>
      <c r="N8" s="18">
        <f>N10+N19+N33+N56+N68+N30</f>
        <v>3048.3099999999977</v>
      </c>
      <c r="O8" s="31">
        <f aca="true" t="shared" si="3" ref="O8:O71">N8-M8</f>
        <v>-25177.11</v>
      </c>
      <c r="P8" s="31">
        <f>F8/M8*100</f>
        <v>135.1160762178207</v>
      </c>
      <c r="Q8" s="31">
        <f>N8-33748.16</f>
        <v>-30699.850000000006</v>
      </c>
      <c r="R8" s="125">
        <f>N8/33748.16</f>
        <v>0.09032522069351329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31722.89</v>
      </c>
      <c r="G9" s="18">
        <f t="shared" si="0"/>
        <v>31722.89</v>
      </c>
      <c r="H9" s="16"/>
      <c r="I9" s="50">
        <f t="shared" si="1"/>
        <v>-112240.81000000001</v>
      </c>
      <c r="J9" s="50">
        <f t="shared" si="2"/>
        <v>22.035339464045446</v>
      </c>
      <c r="K9" s="50"/>
      <c r="L9" s="50"/>
      <c r="M9" s="16">
        <f>M10+M17</f>
        <v>20559.42</v>
      </c>
      <c r="N9" s="16">
        <f>N10+N17</f>
        <v>2711.1699999999983</v>
      </c>
      <c r="O9" s="31">
        <f t="shared" si="3"/>
        <v>-17848.25</v>
      </c>
      <c r="P9" s="50">
        <f>F9/M9*100</f>
        <v>154.29856484278255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31904.37</v>
      </c>
      <c r="F10" s="143">
        <v>31722.89</v>
      </c>
      <c r="G10" s="43">
        <f t="shared" si="0"/>
        <v>-181.47999999999956</v>
      </c>
      <c r="H10" s="35">
        <f aca="true" t="shared" si="4" ref="H10:H17">F10/E10*100</f>
        <v>99.43117510234491</v>
      </c>
      <c r="I10" s="50">
        <f t="shared" si="1"/>
        <v>-112240.81000000001</v>
      </c>
      <c r="J10" s="50">
        <f t="shared" si="2"/>
        <v>22.035339464045446</v>
      </c>
      <c r="K10" s="132">
        <f>F10-26568.11</f>
        <v>5154.779999999999</v>
      </c>
      <c r="L10" s="132">
        <f>F10/26568.11*100</f>
        <v>119.40213285777573</v>
      </c>
      <c r="M10" s="35">
        <f>E10-'січень '!M10</f>
        <v>20559.42</v>
      </c>
      <c r="N10" s="35">
        <f>F10-'січень '!N10</f>
        <v>2711.1699999999983</v>
      </c>
      <c r="O10" s="47">
        <f t="shared" si="3"/>
        <v>-17848.25</v>
      </c>
      <c r="P10" s="50">
        <f aca="true" t="shared" si="5" ref="P10:P17">N10/M10*100</f>
        <v>13.186996520329847</v>
      </c>
      <c r="Q10" s="132">
        <f>N10-26568.11</f>
        <v>-23856.940000000002</v>
      </c>
      <c r="R10" s="133">
        <f>N10/26568.11</f>
        <v>0.1020460243502454</v>
      </c>
      <c r="S10" s="158">
        <f>0-F10/75*15</f>
        <v>-6344.5779999999995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>F11-'січень '!N11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>F12-'січень '!N12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>F13-'січень '!N13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>F14-'січень '!N14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>F15-'січень '!N15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>F16-'січень '!N16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>F17-'січень '!N17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>E18-'січень '!M18</f>
        <v>0</v>
      </c>
      <c r="N18" s="35">
        <f>F18-'січень '!N18</f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300</v>
      </c>
      <c r="F19" s="143">
        <v>-566.34</v>
      </c>
      <c r="G19" s="43">
        <f t="shared" si="0"/>
        <v>-866.34</v>
      </c>
      <c r="H19" s="35">
        <f aca="true" t="shared" si="6" ref="H19:H29">F19/E19*100</f>
        <v>-188.78</v>
      </c>
      <c r="I19" s="50">
        <f aca="true" t="shared" si="7" ref="I19:I28">F19-D19</f>
        <v>-1166.3400000000001</v>
      </c>
      <c r="J19" s="50">
        <f aca="true" t="shared" si="8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>E19-'січень '!M19</f>
        <v>200</v>
      </c>
      <c r="N19" s="35">
        <f>F19-'січень '!N19</f>
        <v>0</v>
      </c>
      <c r="O19" s="47">
        <f t="shared" si="3"/>
        <v>-200</v>
      </c>
      <c r="P19" s="50">
        <f aca="true" t="shared" si="9" ref="P19:P29">N19/M19*100</f>
        <v>0</v>
      </c>
      <c r="Q19" s="50">
        <f>N19-358.81</f>
        <v>-358.81</v>
      </c>
      <c r="R19" s="126">
        <f>N19/358.81</f>
        <v>0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6"/>
        <v>#DIV/0!</v>
      </c>
      <c r="I20" s="50">
        <f t="shared" si="7"/>
        <v>0</v>
      </c>
      <c r="J20" s="50" t="e">
        <f t="shared" si="8"/>
        <v>#DIV/0!</v>
      </c>
      <c r="K20" s="50">
        <f aca="true" t="shared" si="10" ref="K20:K28">F20-194.7</f>
        <v>-194.7</v>
      </c>
      <c r="L20" s="50">
        <f aca="true" t="shared" si="11" ref="L20:L28">F20/194.7*100</f>
        <v>0</v>
      </c>
      <c r="M20" s="35">
        <f>E20-'січень '!M20</f>
        <v>0</v>
      </c>
      <c r="N20" s="35">
        <f>F20-'січень '!N20</f>
        <v>0</v>
      </c>
      <c r="O20" s="47">
        <f t="shared" si="3"/>
        <v>0</v>
      </c>
      <c r="P20" s="50" t="e">
        <f t="shared" si="9"/>
        <v>#DIV/0!</v>
      </c>
      <c r="Q20" s="50">
        <f aca="true" t="shared" si="12" ref="Q20:Q28">N20-194.7</f>
        <v>-194.7</v>
      </c>
      <c r="R20" s="126">
        <f aca="true" t="shared" si="13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6"/>
        <v>#DIV/0!</v>
      </c>
      <c r="I21" s="50">
        <f t="shared" si="7"/>
        <v>0</v>
      </c>
      <c r="J21" s="50" t="e">
        <f t="shared" si="8"/>
        <v>#DIV/0!</v>
      </c>
      <c r="K21" s="50">
        <f t="shared" si="10"/>
        <v>-194.7</v>
      </c>
      <c r="L21" s="50">
        <f t="shared" si="11"/>
        <v>0</v>
      </c>
      <c r="M21" s="35">
        <f>E21-'січень '!M21</f>
        <v>0</v>
      </c>
      <c r="N21" s="35">
        <f>F21-'січень '!N21</f>
        <v>0</v>
      </c>
      <c r="O21" s="47">
        <f t="shared" si="3"/>
        <v>0</v>
      </c>
      <c r="P21" s="50" t="e">
        <f t="shared" si="9"/>
        <v>#DIV/0!</v>
      </c>
      <c r="Q21" s="50">
        <f t="shared" si="12"/>
        <v>-194.7</v>
      </c>
      <c r="R21" s="126">
        <f t="shared" si="13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6"/>
        <v>#DIV/0!</v>
      </c>
      <c r="I22" s="50">
        <f t="shared" si="7"/>
        <v>0</v>
      </c>
      <c r="J22" s="50" t="e">
        <f t="shared" si="8"/>
        <v>#DIV/0!</v>
      </c>
      <c r="K22" s="50">
        <f t="shared" si="10"/>
        <v>-194.7</v>
      </c>
      <c r="L22" s="50">
        <f t="shared" si="11"/>
        <v>0</v>
      </c>
      <c r="M22" s="35">
        <f>E22-'січень '!M22</f>
        <v>0</v>
      </c>
      <c r="N22" s="35">
        <f>F22-'січень '!N22</f>
        <v>0</v>
      </c>
      <c r="O22" s="47">
        <f t="shared" si="3"/>
        <v>0</v>
      </c>
      <c r="P22" s="50" t="e">
        <f t="shared" si="9"/>
        <v>#DIV/0!</v>
      </c>
      <c r="Q22" s="50">
        <f t="shared" si="12"/>
        <v>-194.7</v>
      </c>
      <c r="R22" s="126">
        <f t="shared" si="13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6"/>
        <v>#DIV/0!</v>
      </c>
      <c r="I23" s="50">
        <f t="shared" si="7"/>
        <v>0</v>
      </c>
      <c r="J23" s="50" t="e">
        <f t="shared" si="8"/>
        <v>#DIV/0!</v>
      </c>
      <c r="K23" s="50">
        <f t="shared" si="10"/>
        <v>-194.7</v>
      </c>
      <c r="L23" s="50">
        <f t="shared" si="11"/>
        <v>0</v>
      </c>
      <c r="M23" s="35">
        <f>E23-'січень '!M23</f>
        <v>0</v>
      </c>
      <c r="N23" s="35">
        <f>F23-'січень '!N23</f>
        <v>0</v>
      </c>
      <c r="O23" s="47">
        <f t="shared" si="3"/>
        <v>0</v>
      </c>
      <c r="P23" s="50" t="e">
        <f t="shared" si="9"/>
        <v>#DIV/0!</v>
      </c>
      <c r="Q23" s="50">
        <f t="shared" si="12"/>
        <v>-194.7</v>
      </c>
      <c r="R23" s="126">
        <f t="shared" si="13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6"/>
        <v>#DIV/0!</v>
      </c>
      <c r="I24" s="50">
        <f t="shared" si="7"/>
        <v>0</v>
      </c>
      <c r="J24" s="50" t="e">
        <f t="shared" si="8"/>
        <v>#DIV/0!</v>
      </c>
      <c r="K24" s="50">
        <f t="shared" si="10"/>
        <v>-194.7</v>
      </c>
      <c r="L24" s="50">
        <f t="shared" si="11"/>
        <v>0</v>
      </c>
      <c r="M24" s="35">
        <f>E24-'січень '!M24</f>
        <v>0</v>
      </c>
      <c r="N24" s="35">
        <f>F24-'січень '!N24</f>
        <v>0</v>
      </c>
      <c r="O24" s="47">
        <f t="shared" si="3"/>
        <v>0</v>
      </c>
      <c r="P24" s="50" t="e">
        <f t="shared" si="9"/>
        <v>#DIV/0!</v>
      </c>
      <c r="Q24" s="50">
        <f t="shared" si="12"/>
        <v>-194.7</v>
      </c>
      <c r="R24" s="126">
        <f t="shared" si="13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6"/>
        <v>#DIV/0!</v>
      </c>
      <c r="I25" s="50">
        <f t="shared" si="7"/>
        <v>0</v>
      </c>
      <c r="J25" s="50" t="e">
        <f t="shared" si="8"/>
        <v>#DIV/0!</v>
      </c>
      <c r="K25" s="50">
        <f t="shared" si="10"/>
        <v>-194.7</v>
      </c>
      <c r="L25" s="50">
        <f t="shared" si="11"/>
        <v>0</v>
      </c>
      <c r="M25" s="35">
        <f>E25-'січень '!M25</f>
        <v>0</v>
      </c>
      <c r="N25" s="35">
        <f>F25-'січень '!N25</f>
        <v>0</v>
      </c>
      <c r="O25" s="47">
        <f t="shared" si="3"/>
        <v>0</v>
      </c>
      <c r="P25" s="50" t="e">
        <f t="shared" si="9"/>
        <v>#DIV/0!</v>
      </c>
      <c r="Q25" s="50">
        <f t="shared" si="12"/>
        <v>-194.7</v>
      </c>
      <c r="R25" s="126">
        <f t="shared" si="13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6"/>
        <v>#DIV/0!</v>
      </c>
      <c r="I26" s="50">
        <f t="shared" si="7"/>
        <v>0</v>
      </c>
      <c r="J26" s="50" t="e">
        <f t="shared" si="8"/>
        <v>#DIV/0!</v>
      </c>
      <c r="K26" s="50">
        <f t="shared" si="10"/>
        <v>-194.7</v>
      </c>
      <c r="L26" s="50">
        <f t="shared" si="11"/>
        <v>0</v>
      </c>
      <c r="M26" s="35">
        <f>E26-'січень '!M26</f>
        <v>0</v>
      </c>
      <c r="N26" s="35">
        <f>F26-'січень '!N26</f>
        <v>0</v>
      </c>
      <c r="O26" s="47">
        <f t="shared" si="3"/>
        <v>0</v>
      </c>
      <c r="P26" s="50" t="e">
        <f t="shared" si="9"/>
        <v>#DIV/0!</v>
      </c>
      <c r="Q26" s="50">
        <f t="shared" si="12"/>
        <v>-194.7</v>
      </c>
      <c r="R26" s="126">
        <f t="shared" si="13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6"/>
        <v>#DIV/0!</v>
      </c>
      <c r="I27" s="50">
        <f t="shared" si="7"/>
        <v>0</v>
      </c>
      <c r="J27" s="50" t="e">
        <f t="shared" si="8"/>
        <v>#DIV/0!</v>
      </c>
      <c r="K27" s="50">
        <f t="shared" si="10"/>
        <v>-194.7</v>
      </c>
      <c r="L27" s="50">
        <f t="shared" si="11"/>
        <v>0</v>
      </c>
      <c r="M27" s="35">
        <f>E27-'січень '!M27</f>
        <v>0</v>
      </c>
      <c r="N27" s="35">
        <f>F27-'січень '!N27</f>
        <v>0</v>
      </c>
      <c r="O27" s="47">
        <f t="shared" si="3"/>
        <v>0</v>
      </c>
      <c r="P27" s="50" t="e">
        <f t="shared" si="9"/>
        <v>#DIV/0!</v>
      </c>
      <c r="Q27" s="50">
        <f t="shared" si="12"/>
        <v>-194.7</v>
      </c>
      <c r="R27" s="126">
        <f t="shared" si="13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6"/>
        <v>#DIV/0!</v>
      </c>
      <c r="I28" s="50">
        <f t="shared" si="7"/>
        <v>0</v>
      </c>
      <c r="J28" s="50" t="e">
        <f t="shared" si="8"/>
        <v>#DIV/0!</v>
      </c>
      <c r="K28" s="50">
        <f t="shared" si="10"/>
        <v>-194.7</v>
      </c>
      <c r="L28" s="50">
        <f t="shared" si="11"/>
        <v>0</v>
      </c>
      <c r="M28" s="35">
        <f>E28-'січень '!M28</f>
        <v>0</v>
      </c>
      <c r="N28" s="35">
        <f>F28-'січень '!N28</f>
        <v>0</v>
      </c>
      <c r="O28" s="47">
        <f t="shared" si="3"/>
        <v>0</v>
      </c>
      <c r="P28" s="50" t="e">
        <f t="shared" si="9"/>
        <v>#DIV/0!</v>
      </c>
      <c r="Q28" s="50">
        <f t="shared" si="12"/>
        <v>-194.7</v>
      </c>
      <c r="R28" s="126">
        <f t="shared" si="13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200</v>
      </c>
      <c r="F29" s="144">
        <v>-438.35</v>
      </c>
      <c r="G29" s="43">
        <f t="shared" si="0"/>
        <v>-638.35</v>
      </c>
      <c r="H29" s="35">
        <f t="shared" si="6"/>
        <v>-219.17500000000004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>E29-'січень '!M29</f>
        <v>100</v>
      </c>
      <c r="N29" s="35">
        <f>F29-'січень '!N29</f>
        <v>0</v>
      </c>
      <c r="O29" s="47">
        <f t="shared" si="3"/>
        <v>-100</v>
      </c>
      <c r="P29" s="50">
        <f t="shared" si="9"/>
        <v>0</v>
      </c>
      <c r="Q29" s="136">
        <f>N29-358.81</f>
        <v>-358.81</v>
      </c>
      <c r="R29" s="141">
        <f>N29/358.79</f>
        <v>0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>E30-'січень '!M30</f>
        <v>0</v>
      </c>
      <c r="N30" s="35">
        <f>F30-'січень '!N30</f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>F31-'січень '!N31</f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>E32-'січень '!M32</f>
        <v>0</v>
      </c>
      <c r="N32" s="35">
        <f>F32-'січень '!N32</f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13580</v>
      </c>
      <c r="F33" s="143">
        <v>6837.37</v>
      </c>
      <c r="G33" s="43">
        <f aca="true" t="shared" si="14" ref="G33:G72">F33-E33</f>
        <v>-6742.63</v>
      </c>
      <c r="H33" s="35">
        <f aca="true" t="shared" si="15" ref="H33:H67">F33/E33*100</f>
        <v>50.348821796759935</v>
      </c>
      <c r="I33" s="50">
        <f>F33-D33</f>
        <v>-34742.63</v>
      </c>
      <c r="J33" s="50">
        <f aca="true" t="shared" si="16" ref="J33:J72">F33/D33*100</f>
        <v>16.443891293891294</v>
      </c>
      <c r="K33" s="132">
        <f>F33-6293.29</f>
        <v>544.0799999999999</v>
      </c>
      <c r="L33" s="132">
        <f>F33/6293.29*100</f>
        <v>108.64539851174824</v>
      </c>
      <c r="M33" s="35">
        <f>E33-'січень '!M33</f>
        <v>6900</v>
      </c>
      <c r="N33" s="35">
        <f>F33-'січень '!N33</f>
        <v>339.3599999999997</v>
      </c>
      <c r="O33" s="47">
        <f t="shared" si="3"/>
        <v>-6560.64</v>
      </c>
      <c r="P33" s="50">
        <f aca="true" t="shared" si="17" ref="P33:P67">N33/M33*100</f>
        <v>4.918260869565213</v>
      </c>
      <c r="Q33" s="132">
        <f>N33-6293.29</f>
        <v>-5953.93</v>
      </c>
      <c r="R33" s="133">
        <f>N33/6293.29</f>
        <v>0.05392410011297742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4"/>
        <v>0</v>
      </c>
      <c r="H34" s="35" t="e">
        <f t="shared" si="15"/>
        <v>#DIV/0!</v>
      </c>
      <c r="I34" s="50">
        <f aca="true" t="shared" si="18" ref="I34:I72">F34-D34</f>
        <v>0</v>
      </c>
      <c r="J34" s="50" t="e">
        <f t="shared" si="16"/>
        <v>#DIV/0!</v>
      </c>
      <c r="K34" s="50">
        <f aca="true" t="shared" si="19" ref="K34:K54">F34-6172.8</f>
        <v>-6172.8</v>
      </c>
      <c r="L34" s="50">
        <f aca="true" t="shared" si="20" ref="L34:L54">F34/6172.8*100</f>
        <v>0</v>
      </c>
      <c r="M34" s="35">
        <f>E34-'січень '!M34</f>
        <v>0</v>
      </c>
      <c r="N34" s="35">
        <f>F34-'січень '!N34</f>
        <v>0</v>
      </c>
      <c r="O34" s="47">
        <f t="shared" si="3"/>
        <v>0</v>
      </c>
      <c r="P34" s="50" t="e">
        <f t="shared" si="17"/>
        <v>#DIV/0!</v>
      </c>
      <c r="Q34" s="132">
        <f aca="true" t="shared" si="21" ref="Q34:Q54">N34-6172.8</f>
        <v>-6172.8</v>
      </c>
      <c r="R34" s="133">
        <f aca="true" t="shared" si="22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4"/>
        <v>0</v>
      </c>
      <c r="H35" s="35" t="e">
        <f t="shared" si="15"/>
        <v>#DIV/0!</v>
      </c>
      <c r="I35" s="50">
        <f t="shared" si="18"/>
        <v>0</v>
      </c>
      <c r="J35" s="50" t="e">
        <f t="shared" si="16"/>
        <v>#DIV/0!</v>
      </c>
      <c r="K35" s="50">
        <f t="shared" si="19"/>
        <v>-6172.8</v>
      </c>
      <c r="L35" s="50">
        <f t="shared" si="20"/>
        <v>0</v>
      </c>
      <c r="M35" s="35">
        <f>E35-'січень '!M35</f>
        <v>0</v>
      </c>
      <c r="N35" s="35">
        <f>F35-'січень '!N35</f>
        <v>0</v>
      </c>
      <c r="O35" s="47">
        <f t="shared" si="3"/>
        <v>0</v>
      </c>
      <c r="P35" s="50" t="e">
        <f t="shared" si="17"/>
        <v>#DIV/0!</v>
      </c>
      <c r="Q35" s="132">
        <f t="shared" si="21"/>
        <v>-6172.8</v>
      </c>
      <c r="R35" s="133">
        <f t="shared" si="22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4"/>
        <v>0</v>
      </c>
      <c r="H36" s="35" t="e">
        <f t="shared" si="15"/>
        <v>#DIV/0!</v>
      </c>
      <c r="I36" s="50">
        <f t="shared" si="18"/>
        <v>0</v>
      </c>
      <c r="J36" s="50" t="e">
        <f t="shared" si="16"/>
        <v>#DIV/0!</v>
      </c>
      <c r="K36" s="50">
        <f t="shared" si="19"/>
        <v>-6172.8</v>
      </c>
      <c r="L36" s="50">
        <f t="shared" si="20"/>
        <v>0</v>
      </c>
      <c r="M36" s="35">
        <f>E36-'січень '!M36</f>
        <v>0</v>
      </c>
      <c r="N36" s="35">
        <f>F36-'січень '!N36</f>
        <v>0</v>
      </c>
      <c r="O36" s="47">
        <f t="shared" si="3"/>
        <v>0</v>
      </c>
      <c r="P36" s="50" t="e">
        <f t="shared" si="17"/>
        <v>#DIV/0!</v>
      </c>
      <c r="Q36" s="132">
        <f t="shared" si="21"/>
        <v>-6172.8</v>
      </c>
      <c r="R36" s="133">
        <f t="shared" si="22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4"/>
        <v>0</v>
      </c>
      <c r="H37" s="35" t="e">
        <f t="shared" si="15"/>
        <v>#DIV/0!</v>
      </c>
      <c r="I37" s="50">
        <f t="shared" si="18"/>
        <v>0</v>
      </c>
      <c r="J37" s="50" t="e">
        <f t="shared" si="16"/>
        <v>#DIV/0!</v>
      </c>
      <c r="K37" s="50">
        <f t="shared" si="19"/>
        <v>-6172.8</v>
      </c>
      <c r="L37" s="50">
        <f t="shared" si="20"/>
        <v>0</v>
      </c>
      <c r="M37" s="35">
        <f>E37-'січень '!M37</f>
        <v>0</v>
      </c>
      <c r="N37" s="35">
        <f>F37-'січень '!N37</f>
        <v>0</v>
      </c>
      <c r="O37" s="47">
        <f t="shared" si="3"/>
        <v>0</v>
      </c>
      <c r="P37" s="50" t="e">
        <f t="shared" si="17"/>
        <v>#DIV/0!</v>
      </c>
      <c r="Q37" s="132">
        <f t="shared" si="21"/>
        <v>-6172.8</v>
      </c>
      <c r="R37" s="133">
        <f t="shared" si="22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4"/>
        <v>0</v>
      </c>
      <c r="H38" s="35" t="e">
        <f t="shared" si="15"/>
        <v>#DIV/0!</v>
      </c>
      <c r="I38" s="50">
        <f t="shared" si="18"/>
        <v>0</v>
      </c>
      <c r="J38" s="50" t="e">
        <f t="shared" si="16"/>
        <v>#DIV/0!</v>
      </c>
      <c r="K38" s="50">
        <f t="shared" si="19"/>
        <v>-6172.8</v>
      </c>
      <c r="L38" s="50">
        <f t="shared" si="20"/>
        <v>0</v>
      </c>
      <c r="M38" s="35">
        <f>E38-'січень '!M38</f>
        <v>0</v>
      </c>
      <c r="N38" s="35">
        <f>F38-'січень '!N38</f>
        <v>0</v>
      </c>
      <c r="O38" s="47">
        <f t="shared" si="3"/>
        <v>0</v>
      </c>
      <c r="P38" s="50" t="e">
        <f t="shared" si="17"/>
        <v>#DIV/0!</v>
      </c>
      <c r="Q38" s="132">
        <f t="shared" si="21"/>
        <v>-6172.8</v>
      </c>
      <c r="R38" s="133">
        <f t="shared" si="22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4"/>
        <v>0</v>
      </c>
      <c r="H39" s="35" t="e">
        <f t="shared" si="15"/>
        <v>#DIV/0!</v>
      </c>
      <c r="I39" s="50">
        <f t="shared" si="18"/>
        <v>0</v>
      </c>
      <c r="J39" s="50" t="e">
        <f t="shared" si="16"/>
        <v>#DIV/0!</v>
      </c>
      <c r="K39" s="50">
        <f t="shared" si="19"/>
        <v>-6172.8</v>
      </c>
      <c r="L39" s="50">
        <f t="shared" si="20"/>
        <v>0</v>
      </c>
      <c r="M39" s="35">
        <f>E39-'січень '!M39</f>
        <v>0</v>
      </c>
      <c r="N39" s="35">
        <f>F39-'січень '!N39</f>
        <v>0</v>
      </c>
      <c r="O39" s="47">
        <f t="shared" si="3"/>
        <v>0</v>
      </c>
      <c r="P39" s="50" t="e">
        <f t="shared" si="17"/>
        <v>#DIV/0!</v>
      </c>
      <c r="Q39" s="132">
        <f t="shared" si="21"/>
        <v>-6172.8</v>
      </c>
      <c r="R39" s="133">
        <f t="shared" si="22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4"/>
        <v>0</v>
      </c>
      <c r="H40" s="35" t="e">
        <f t="shared" si="15"/>
        <v>#DIV/0!</v>
      </c>
      <c r="I40" s="50">
        <f t="shared" si="18"/>
        <v>0</v>
      </c>
      <c r="J40" s="50" t="e">
        <f t="shared" si="16"/>
        <v>#DIV/0!</v>
      </c>
      <c r="K40" s="50">
        <f t="shared" si="19"/>
        <v>-6172.8</v>
      </c>
      <c r="L40" s="50">
        <f t="shared" si="20"/>
        <v>0</v>
      </c>
      <c r="M40" s="35">
        <f>E40-'січень '!M40</f>
        <v>0</v>
      </c>
      <c r="N40" s="35">
        <f>F40-'січень '!N40</f>
        <v>0</v>
      </c>
      <c r="O40" s="47">
        <f t="shared" si="3"/>
        <v>0</v>
      </c>
      <c r="P40" s="50" t="e">
        <f t="shared" si="17"/>
        <v>#DIV/0!</v>
      </c>
      <c r="Q40" s="132">
        <f t="shared" si="21"/>
        <v>-6172.8</v>
      </c>
      <c r="R40" s="133">
        <f t="shared" si="22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4"/>
        <v>0</v>
      </c>
      <c r="H41" s="35" t="e">
        <f t="shared" si="15"/>
        <v>#DIV/0!</v>
      </c>
      <c r="I41" s="50">
        <f t="shared" si="18"/>
        <v>0</v>
      </c>
      <c r="J41" s="50" t="e">
        <f t="shared" si="16"/>
        <v>#DIV/0!</v>
      </c>
      <c r="K41" s="50">
        <f t="shared" si="19"/>
        <v>-6172.8</v>
      </c>
      <c r="L41" s="50">
        <f t="shared" si="20"/>
        <v>0</v>
      </c>
      <c r="M41" s="35">
        <f>E41-'січень '!M41</f>
        <v>0</v>
      </c>
      <c r="N41" s="35">
        <f>F41-'січень '!N41</f>
        <v>0</v>
      </c>
      <c r="O41" s="47">
        <f t="shared" si="3"/>
        <v>0</v>
      </c>
      <c r="P41" s="50" t="e">
        <f t="shared" si="17"/>
        <v>#DIV/0!</v>
      </c>
      <c r="Q41" s="132">
        <f t="shared" si="21"/>
        <v>-6172.8</v>
      </c>
      <c r="R41" s="133">
        <f t="shared" si="22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4"/>
        <v>0</v>
      </c>
      <c r="H42" s="35" t="e">
        <f t="shared" si="15"/>
        <v>#DIV/0!</v>
      </c>
      <c r="I42" s="50">
        <f t="shared" si="18"/>
        <v>0</v>
      </c>
      <c r="J42" s="50" t="e">
        <f t="shared" si="16"/>
        <v>#DIV/0!</v>
      </c>
      <c r="K42" s="50">
        <f t="shared" si="19"/>
        <v>-6172.8</v>
      </c>
      <c r="L42" s="50">
        <f t="shared" si="20"/>
        <v>0</v>
      </c>
      <c r="M42" s="35">
        <f>E42-'січень '!M42</f>
        <v>0</v>
      </c>
      <c r="N42" s="35">
        <f>F42-'січень '!N42</f>
        <v>0</v>
      </c>
      <c r="O42" s="47">
        <f t="shared" si="3"/>
        <v>0</v>
      </c>
      <c r="P42" s="50" t="e">
        <f t="shared" si="17"/>
        <v>#DIV/0!</v>
      </c>
      <c r="Q42" s="132">
        <f t="shared" si="21"/>
        <v>-6172.8</v>
      </c>
      <c r="R42" s="133">
        <f t="shared" si="22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4"/>
        <v>0</v>
      </c>
      <c r="H43" s="35" t="e">
        <f t="shared" si="15"/>
        <v>#DIV/0!</v>
      </c>
      <c r="I43" s="50">
        <f t="shared" si="18"/>
        <v>0</v>
      </c>
      <c r="J43" s="50" t="e">
        <f t="shared" si="16"/>
        <v>#DIV/0!</v>
      </c>
      <c r="K43" s="50">
        <f t="shared" si="19"/>
        <v>-6172.8</v>
      </c>
      <c r="L43" s="50">
        <f t="shared" si="20"/>
        <v>0</v>
      </c>
      <c r="M43" s="35">
        <f>E43-'січень '!M43</f>
        <v>0</v>
      </c>
      <c r="N43" s="35">
        <f>F43-'січень '!N43</f>
        <v>0</v>
      </c>
      <c r="O43" s="47">
        <f t="shared" si="3"/>
        <v>0</v>
      </c>
      <c r="P43" s="50" t="e">
        <f t="shared" si="17"/>
        <v>#DIV/0!</v>
      </c>
      <c r="Q43" s="132">
        <f t="shared" si="21"/>
        <v>-6172.8</v>
      </c>
      <c r="R43" s="133">
        <f t="shared" si="22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4"/>
        <v>0</v>
      </c>
      <c r="H44" s="35" t="e">
        <f t="shared" si="15"/>
        <v>#DIV/0!</v>
      </c>
      <c r="I44" s="50">
        <f t="shared" si="18"/>
        <v>0</v>
      </c>
      <c r="J44" s="50" t="e">
        <f t="shared" si="16"/>
        <v>#DIV/0!</v>
      </c>
      <c r="K44" s="50">
        <f t="shared" si="19"/>
        <v>-6172.8</v>
      </c>
      <c r="L44" s="50">
        <f t="shared" si="20"/>
        <v>0</v>
      </c>
      <c r="M44" s="35">
        <f>E44-'січень '!M44</f>
        <v>0</v>
      </c>
      <c r="N44" s="35">
        <f>F44-'січень '!N44</f>
        <v>0</v>
      </c>
      <c r="O44" s="47">
        <f t="shared" si="3"/>
        <v>0</v>
      </c>
      <c r="P44" s="50" t="e">
        <f t="shared" si="17"/>
        <v>#DIV/0!</v>
      </c>
      <c r="Q44" s="132">
        <f t="shared" si="21"/>
        <v>-6172.8</v>
      </c>
      <c r="R44" s="133">
        <f t="shared" si="22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4"/>
        <v>0</v>
      </c>
      <c r="H45" s="35" t="e">
        <f t="shared" si="15"/>
        <v>#DIV/0!</v>
      </c>
      <c r="I45" s="50">
        <f t="shared" si="18"/>
        <v>0</v>
      </c>
      <c r="J45" s="50" t="e">
        <f t="shared" si="16"/>
        <v>#DIV/0!</v>
      </c>
      <c r="K45" s="50">
        <f t="shared" si="19"/>
        <v>-6172.8</v>
      </c>
      <c r="L45" s="50">
        <f t="shared" si="20"/>
        <v>0</v>
      </c>
      <c r="M45" s="35">
        <f>E45-'січень '!M45</f>
        <v>0</v>
      </c>
      <c r="N45" s="35">
        <f>F45-'січень '!N45</f>
        <v>0</v>
      </c>
      <c r="O45" s="47">
        <f t="shared" si="3"/>
        <v>0</v>
      </c>
      <c r="P45" s="50" t="e">
        <f t="shared" si="17"/>
        <v>#DIV/0!</v>
      </c>
      <c r="Q45" s="132">
        <f t="shared" si="21"/>
        <v>-6172.8</v>
      </c>
      <c r="R45" s="133">
        <f t="shared" si="22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4"/>
        <v>0</v>
      </c>
      <c r="H46" s="35" t="e">
        <f t="shared" si="15"/>
        <v>#DIV/0!</v>
      </c>
      <c r="I46" s="50">
        <f t="shared" si="18"/>
        <v>0</v>
      </c>
      <c r="J46" s="50" t="e">
        <f t="shared" si="16"/>
        <v>#DIV/0!</v>
      </c>
      <c r="K46" s="50">
        <f t="shared" si="19"/>
        <v>-6172.8</v>
      </c>
      <c r="L46" s="50">
        <f t="shared" si="20"/>
        <v>0</v>
      </c>
      <c r="M46" s="35">
        <f>E46-'січень '!M46</f>
        <v>0</v>
      </c>
      <c r="N46" s="35">
        <f>F46-'січень '!N46</f>
        <v>0</v>
      </c>
      <c r="O46" s="47">
        <f t="shared" si="3"/>
        <v>0</v>
      </c>
      <c r="P46" s="50" t="e">
        <f t="shared" si="17"/>
        <v>#DIV/0!</v>
      </c>
      <c r="Q46" s="132">
        <f t="shared" si="21"/>
        <v>-6172.8</v>
      </c>
      <c r="R46" s="133">
        <f t="shared" si="22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4"/>
        <v>0</v>
      </c>
      <c r="H47" s="35" t="e">
        <f t="shared" si="15"/>
        <v>#DIV/0!</v>
      </c>
      <c r="I47" s="50">
        <f t="shared" si="18"/>
        <v>0</v>
      </c>
      <c r="J47" s="50" t="e">
        <f t="shared" si="16"/>
        <v>#DIV/0!</v>
      </c>
      <c r="K47" s="50">
        <f t="shared" si="19"/>
        <v>-6172.8</v>
      </c>
      <c r="L47" s="50">
        <f t="shared" si="20"/>
        <v>0</v>
      </c>
      <c r="M47" s="35">
        <f>E47-'січень '!M47</f>
        <v>0</v>
      </c>
      <c r="N47" s="35">
        <f>F47-'січень '!N47</f>
        <v>0</v>
      </c>
      <c r="O47" s="47">
        <f t="shared" si="3"/>
        <v>0</v>
      </c>
      <c r="P47" s="50" t="e">
        <f t="shared" si="17"/>
        <v>#DIV/0!</v>
      </c>
      <c r="Q47" s="132">
        <f t="shared" si="21"/>
        <v>-6172.8</v>
      </c>
      <c r="R47" s="133">
        <f t="shared" si="22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4"/>
        <v>0</v>
      </c>
      <c r="H48" s="35" t="e">
        <f t="shared" si="15"/>
        <v>#DIV/0!</v>
      </c>
      <c r="I48" s="50">
        <f t="shared" si="18"/>
        <v>0</v>
      </c>
      <c r="J48" s="50" t="e">
        <f t="shared" si="16"/>
        <v>#DIV/0!</v>
      </c>
      <c r="K48" s="50">
        <f t="shared" si="19"/>
        <v>-6172.8</v>
      </c>
      <c r="L48" s="50">
        <f t="shared" si="20"/>
        <v>0</v>
      </c>
      <c r="M48" s="35">
        <f>E48-'січень '!M48</f>
        <v>0</v>
      </c>
      <c r="N48" s="35">
        <f>F48-'січень '!N48</f>
        <v>0</v>
      </c>
      <c r="O48" s="47">
        <f t="shared" si="3"/>
        <v>0</v>
      </c>
      <c r="P48" s="50" t="e">
        <f t="shared" si="17"/>
        <v>#DIV/0!</v>
      </c>
      <c r="Q48" s="132">
        <f t="shared" si="21"/>
        <v>-6172.8</v>
      </c>
      <c r="R48" s="133">
        <f t="shared" si="22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4"/>
        <v>0</v>
      </c>
      <c r="H49" s="35" t="e">
        <f t="shared" si="15"/>
        <v>#DIV/0!</v>
      </c>
      <c r="I49" s="50">
        <f t="shared" si="18"/>
        <v>0</v>
      </c>
      <c r="J49" s="50" t="e">
        <f t="shared" si="16"/>
        <v>#DIV/0!</v>
      </c>
      <c r="K49" s="50">
        <f t="shared" si="19"/>
        <v>-6172.8</v>
      </c>
      <c r="L49" s="50">
        <f t="shared" si="20"/>
        <v>0</v>
      </c>
      <c r="M49" s="35">
        <f>E49-'січень '!M49</f>
        <v>0</v>
      </c>
      <c r="N49" s="35">
        <f>F49-'січень '!N49</f>
        <v>0</v>
      </c>
      <c r="O49" s="47">
        <f t="shared" si="3"/>
        <v>0</v>
      </c>
      <c r="P49" s="50" t="e">
        <f t="shared" si="17"/>
        <v>#DIV/0!</v>
      </c>
      <c r="Q49" s="132">
        <f t="shared" si="21"/>
        <v>-6172.8</v>
      </c>
      <c r="R49" s="133">
        <f t="shared" si="22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4"/>
        <v>0</v>
      </c>
      <c r="H50" s="35" t="e">
        <f t="shared" si="15"/>
        <v>#DIV/0!</v>
      </c>
      <c r="I50" s="50">
        <f t="shared" si="18"/>
        <v>0</v>
      </c>
      <c r="J50" s="50" t="e">
        <f t="shared" si="16"/>
        <v>#DIV/0!</v>
      </c>
      <c r="K50" s="50">
        <f t="shared" si="19"/>
        <v>-6172.8</v>
      </c>
      <c r="L50" s="50">
        <f t="shared" si="20"/>
        <v>0</v>
      </c>
      <c r="M50" s="35">
        <f>E50-'січень '!M50</f>
        <v>0</v>
      </c>
      <c r="N50" s="35">
        <f>F50-'січень '!N50</f>
        <v>0</v>
      </c>
      <c r="O50" s="47">
        <f t="shared" si="3"/>
        <v>0</v>
      </c>
      <c r="P50" s="50" t="e">
        <f t="shared" si="17"/>
        <v>#DIV/0!</v>
      </c>
      <c r="Q50" s="132">
        <f t="shared" si="21"/>
        <v>-6172.8</v>
      </c>
      <c r="R50" s="133">
        <f t="shared" si="22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4"/>
        <v>0</v>
      </c>
      <c r="H51" s="35" t="e">
        <f t="shared" si="15"/>
        <v>#DIV/0!</v>
      </c>
      <c r="I51" s="50">
        <f t="shared" si="18"/>
        <v>0</v>
      </c>
      <c r="J51" s="50" t="e">
        <f t="shared" si="16"/>
        <v>#DIV/0!</v>
      </c>
      <c r="K51" s="50">
        <f t="shared" si="19"/>
        <v>-6172.8</v>
      </c>
      <c r="L51" s="50">
        <f t="shared" si="20"/>
        <v>0</v>
      </c>
      <c r="M51" s="35">
        <f>E51-'січень '!M51</f>
        <v>0</v>
      </c>
      <c r="N51" s="35">
        <f>F51-'січень '!N51</f>
        <v>0</v>
      </c>
      <c r="O51" s="47">
        <f t="shared" si="3"/>
        <v>0</v>
      </c>
      <c r="P51" s="50" t="e">
        <f t="shared" si="17"/>
        <v>#DIV/0!</v>
      </c>
      <c r="Q51" s="132">
        <f t="shared" si="21"/>
        <v>-6172.8</v>
      </c>
      <c r="R51" s="133">
        <f t="shared" si="22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4"/>
        <v>0</v>
      </c>
      <c r="H52" s="35" t="e">
        <f t="shared" si="15"/>
        <v>#DIV/0!</v>
      </c>
      <c r="I52" s="50">
        <f t="shared" si="18"/>
        <v>0</v>
      </c>
      <c r="J52" s="50" t="e">
        <f t="shared" si="16"/>
        <v>#DIV/0!</v>
      </c>
      <c r="K52" s="50">
        <f t="shared" si="19"/>
        <v>-6172.8</v>
      </c>
      <c r="L52" s="50">
        <f t="shared" si="20"/>
        <v>0</v>
      </c>
      <c r="M52" s="35">
        <f>E52-'січень '!M52</f>
        <v>0</v>
      </c>
      <c r="N52" s="35">
        <f>F52-'січень '!N52</f>
        <v>0</v>
      </c>
      <c r="O52" s="47">
        <f t="shared" si="3"/>
        <v>0</v>
      </c>
      <c r="P52" s="50" t="e">
        <f t="shared" si="17"/>
        <v>#DIV/0!</v>
      </c>
      <c r="Q52" s="132">
        <f t="shared" si="21"/>
        <v>-6172.8</v>
      </c>
      <c r="R52" s="133">
        <f t="shared" si="22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4"/>
        <v>0</v>
      </c>
      <c r="H53" s="35" t="e">
        <f t="shared" si="15"/>
        <v>#DIV/0!</v>
      </c>
      <c r="I53" s="50">
        <f t="shared" si="18"/>
        <v>0</v>
      </c>
      <c r="J53" s="50" t="e">
        <f t="shared" si="16"/>
        <v>#DIV/0!</v>
      </c>
      <c r="K53" s="50">
        <f t="shared" si="19"/>
        <v>-6172.8</v>
      </c>
      <c r="L53" s="50">
        <f t="shared" si="20"/>
        <v>0</v>
      </c>
      <c r="M53" s="35">
        <f>E53-'січень '!M53</f>
        <v>0</v>
      </c>
      <c r="N53" s="35">
        <f>F53-'січень '!N53</f>
        <v>0</v>
      </c>
      <c r="O53" s="47">
        <f t="shared" si="3"/>
        <v>0</v>
      </c>
      <c r="P53" s="50" t="e">
        <f t="shared" si="17"/>
        <v>#DIV/0!</v>
      </c>
      <c r="Q53" s="132">
        <f t="shared" si="21"/>
        <v>-6172.8</v>
      </c>
      <c r="R53" s="133">
        <f t="shared" si="22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4"/>
        <v>0</v>
      </c>
      <c r="H54" s="35" t="e">
        <f t="shared" si="15"/>
        <v>#DIV/0!</v>
      </c>
      <c r="I54" s="50">
        <f t="shared" si="18"/>
        <v>0</v>
      </c>
      <c r="J54" s="50" t="e">
        <f t="shared" si="16"/>
        <v>#DIV/0!</v>
      </c>
      <c r="K54" s="50">
        <f t="shared" si="19"/>
        <v>-6172.8</v>
      </c>
      <c r="L54" s="50">
        <f t="shared" si="20"/>
        <v>0</v>
      </c>
      <c r="M54" s="35">
        <f>E54-'січень '!M54</f>
        <v>0</v>
      </c>
      <c r="N54" s="35">
        <f>F54-'січень '!N54</f>
        <v>0</v>
      </c>
      <c r="O54" s="47">
        <f t="shared" si="3"/>
        <v>0</v>
      </c>
      <c r="P54" s="50" t="e">
        <f t="shared" si="17"/>
        <v>#DIV/0!</v>
      </c>
      <c r="Q54" s="132">
        <f t="shared" si="21"/>
        <v>-6172.8</v>
      </c>
      <c r="R54" s="133">
        <f t="shared" si="22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10520</v>
      </c>
      <c r="F55" s="144">
        <v>5278.51</v>
      </c>
      <c r="G55" s="135">
        <f t="shared" si="14"/>
        <v>-5241.49</v>
      </c>
      <c r="H55" s="137">
        <f t="shared" si="15"/>
        <v>50.17595057034221</v>
      </c>
      <c r="I55" s="136">
        <f t="shared" si="18"/>
        <v>-26321.489999999998</v>
      </c>
      <c r="J55" s="136">
        <f t="shared" si="16"/>
        <v>16.704145569620255</v>
      </c>
      <c r="K55" s="136">
        <f>F55-4687.91</f>
        <v>590.6000000000004</v>
      </c>
      <c r="L55" s="136">
        <f>F55/4687.91*100</f>
        <v>112.5983647296983</v>
      </c>
      <c r="M55" s="35">
        <f>E55-'січень '!M55</f>
        <v>5270</v>
      </c>
      <c r="N55" s="35">
        <f>F55-'січень '!N55</f>
        <v>282.5700000000006</v>
      </c>
      <c r="O55" s="138">
        <f t="shared" si="3"/>
        <v>-4987.429999999999</v>
      </c>
      <c r="P55" s="136">
        <f t="shared" si="17"/>
        <v>5.3618595825427064</v>
      </c>
      <c r="Q55" s="139">
        <f>N55-4687.91</f>
        <v>-4405.339999999999</v>
      </c>
      <c r="R55" s="140">
        <f>N55/4687.91</f>
        <v>0.06027632783052589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1119</v>
      </c>
      <c r="F56" s="143">
        <v>142.89</v>
      </c>
      <c r="G56" s="43">
        <f t="shared" si="14"/>
        <v>-976.11</v>
      </c>
      <c r="H56" s="35">
        <f t="shared" si="15"/>
        <v>12.769436997319033</v>
      </c>
      <c r="I56" s="50">
        <f t="shared" si="18"/>
        <v>-3484.11</v>
      </c>
      <c r="J56" s="50">
        <f t="shared" si="16"/>
        <v>3.939619520264681</v>
      </c>
      <c r="K56" s="50">
        <f>F56-527.8</f>
        <v>-384.90999999999997</v>
      </c>
      <c r="L56" s="50">
        <f>F56/527.8*100</f>
        <v>27.072754831375523</v>
      </c>
      <c r="M56" s="35">
        <f>E56-'січень '!M56</f>
        <v>566</v>
      </c>
      <c r="N56" s="35">
        <f>F56-'січень '!N56</f>
        <v>-2.2200000000000273</v>
      </c>
      <c r="O56" s="47">
        <f t="shared" si="3"/>
        <v>-568.22</v>
      </c>
      <c r="P56" s="50">
        <f t="shared" si="17"/>
        <v>-0.39222614840989883</v>
      </c>
      <c r="Q56" s="50">
        <f>N56-527.8</f>
        <v>-530.02</v>
      </c>
      <c r="R56" s="126">
        <f>N56/527.8</f>
        <v>-0.004206138688897362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14"/>
        <v>0</v>
      </c>
      <c r="H57" s="35" t="e">
        <f t="shared" si="15"/>
        <v>#DIV/0!</v>
      </c>
      <c r="I57" s="50">
        <f t="shared" si="18"/>
        <v>0</v>
      </c>
      <c r="J57" s="50" t="e">
        <f t="shared" si="16"/>
        <v>#DIV/0!</v>
      </c>
      <c r="K57" s="50"/>
      <c r="L57" s="50">
        <f aca="true" t="shared" si="23" ref="L57:L67">F57/527.8*100</f>
        <v>0</v>
      </c>
      <c r="M57" s="35">
        <f>E57-'січень '!M57</f>
        <v>0</v>
      </c>
      <c r="N57" s="35">
        <f>F57-'січень '!N57</f>
        <v>0</v>
      </c>
      <c r="O57" s="47">
        <f t="shared" si="3"/>
        <v>0</v>
      </c>
      <c r="P57" s="50" t="e">
        <f t="shared" si="17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14"/>
        <v>0</v>
      </c>
      <c r="H58" s="35" t="e">
        <f t="shared" si="15"/>
        <v>#DIV/0!</v>
      </c>
      <c r="I58" s="50">
        <f t="shared" si="18"/>
        <v>0</v>
      </c>
      <c r="J58" s="50" t="e">
        <f t="shared" si="16"/>
        <v>#DIV/0!</v>
      </c>
      <c r="K58" s="50"/>
      <c r="L58" s="50">
        <f t="shared" si="23"/>
        <v>0</v>
      </c>
      <c r="M58" s="35">
        <f>E58-'січень '!M58</f>
        <v>0</v>
      </c>
      <c r="N58" s="35">
        <f>F58-'січень '!N58</f>
        <v>0</v>
      </c>
      <c r="O58" s="47">
        <f t="shared" si="3"/>
        <v>0</v>
      </c>
      <c r="P58" s="50" t="e">
        <f t="shared" si="17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14"/>
        <v>0</v>
      </c>
      <c r="H59" s="35" t="e">
        <f t="shared" si="15"/>
        <v>#DIV/0!</v>
      </c>
      <c r="I59" s="50">
        <f t="shared" si="18"/>
        <v>0</v>
      </c>
      <c r="J59" s="50" t="e">
        <f t="shared" si="16"/>
        <v>#DIV/0!</v>
      </c>
      <c r="K59" s="50"/>
      <c r="L59" s="50">
        <f t="shared" si="23"/>
        <v>0</v>
      </c>
      <c r="M59" s="35">
        <f>E59-'січень '!M59</f>
        <v>0</v>
      </c>
      <c r="N59" s="35">
        <f>F59-'січень '!N59</f>
        <v>0</v>
      </c>
      <c r="O59" s="47">
        <f t="shared" si="3"/>
        <v>0</v>
      </c>
      <c r="P59" s="50" t="e">
        <f t="shared" si="17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14"/>
        <v>0</v>
      </c>
      <c r="H60" s="35" t="e">
        <f t="shared" si="15"/>
        <v>#DIV/0!</v>
      </c>
      <c r="I60" s="50">
        <f t="shared" si="18"/>
        <v>0</v>
      </c>
      <c r="J60" s="50" t="e">
        <f t="shared" si="16"/>
        <v>#DIV/0!</v>
      </c>
      <c r="K60" s="50"/>
      <c r="L60" s="50">
        <f t="shared" si="23"/>
        <v>0</v>
      </c>
      <c r="M60" s="35">
        <f>E60-'січень '!M60</f>
        <v>0</v>
      </c>
      <c r="N60" s="35">
        <f>F60-'січень '!N60</f>
        <v>0</v>
      </c>
      <c r="O60" s="47">
        <f t="shared" si="3"/>
        <v>0</v>
      </c>
      <c r="P60" s="50" t="e">
        <f t="shared" si="17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14"/>
        <v>0</v>
      </c>
      <c r="H61" s="35" t="e">
        <f t="shared" si="15"/>
        <v>#DIV/0!</v>
      </c>
      <c r="I61" s="50">
        <f t="shared" si="18"/>
        <v>0</v>
      </c>
      <c r="J61" s="50" t="e">
        <f t="shared" si="16"/>
        <v>#DIV/0!</v>
      </c>
      <c r="K61" s="50"/>
      <c r="L61" s="50">
        <f t="shared" si="23"/>
        <v>0</v>
      </c>
      <c r="M61" s="35">
        <f>E61-'січень '!M61</f>
        <v>0</v>
      </c>
      <c r="N61" s="35">
        <f>F61-'січень '!N61</f>
        <v>0</v>
      </c>
      <c r="O61" s="47">
        <f t="shared" si="3"/>
        <v>0</v>
      </c>
      <c r="P61" s="50" t="e">
        <f t="shared" si="17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14"/>
        <v>0</v>
      </c>
      <c r="H62" s="35" t="e">
        <f t="shared" si="15"/>
        <v>#DIV/0!</v>
      </c>
      <c r="I62" s="50">
        <f t="shared" si="18"/>
        <v>0</v>
      </c>
      <c r="J62" s="50" t="e">
        <f t="shared" si="16"/>
        <v>#DIV/0!</v>
      </c>
      <c r="K62" s="50"/>
      <c r="L62" s="50">
        <f t="shared" si="23"/>
        <v>0</v>
      </c>
      <c r="M62" s="35">
        <f>E62-'січень '!M62</f>
        <v>0</v>
      </c>
      <c r="N62" s="35">
        <f>F62-'січень '!N62</f>
        <v>0</v>
      </c>
      <c r="O62" s="47">
        <f t="shared" si="3"/>
        <v>0</v>
      </c>
      <c r="P62" s="50" t="e">
        <f t="shared" si="17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14"/>
        <v>0</v>
      </c>
      <c r="H63" s="35" t="e">
        <f t="shared" si="15"/>
        <v>#DIV/0!</v>
      </c>
      <c r="I63" s="50">
        <f t="shared" si="18"/>
        <v>0</v>
      </c>
      <c r="J63" s="50" t="e">
        <f t="shared" si="16"/>
        <v>#DIV/0!</v>
      </c>
      <c r="K63" s="50"/>
      <c r="L63" s="50">
        <f t="shared" si="23"/>
        <v>0</v>
      </c>
      <c r="M63" s="35">
        <f>E63-'січень '!M63</f>
        <v>0</v>
      </c>
      <c r="N63" s="35">
        <f>F63-'січень '!N63</f>
        <v>0</v>
      </c>
      <c r="O63" s="47">
        <f t="shared" si="3"/>
        <v>0</v>
      </c>
      <c r="P63" s="50" t="e">
        <f t="shared" si="17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14"/>
        <v>0</v>
      </c>
      <c r="H64" s="35" t="e">
        <f t="shared" si="15"/>
        <v>#DIV/0!</v>
      </c>
      <c r="I64" s="50">
        <f t="shared" si="18"/>
        <v>0</v>
      </c>
      <c r="J64" s="50" t="e">
        <f t="shared" si="16"/>
        <v>#DIV/0!</v>
      </c>
      <c r="K64" s="50"/>
      <c r="L64" s="50">
        <f t="shared" si="23"/>
        <v>0</v>
      </c>
      <c r="M64" s="35">
        <f>E64-'січень '!M64</f>
        <v>0</v>
      </c>
      <c r="N64" s="35">
        <f>F64-'січень '!N64</f>
        <v>0</v>
      </c>
      <c r="O64" s="47">
        <f t="shared" si="3"/>
        <v>0</v>
      </c>
      <c r="P64" s="50" t="e">
        <f t="shared" si="17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14"/>
        <v>0</v>
      </c>
      <c r="H65" s="35" t="e">
        <f t="shared" si="15"/>
        <v>#DIV/0!</v>
      </c>
      <c r="I65" s="50">
        <f t="shared" si="18"/>
        <v>0</v>
      </c>
      <c r="J65" s="50" t="e">
        <f t="shared" si="16"/>
        <v>#DIV/0!</v>
      </c>
      <c r="K65" s="50"/>
      <c r="L65" s="50">
        <f t="shared" si="23"/>
        <v>0</v>
      </c>
      <c r="M65" s="35">
        <f>E65-'січень '!M65</f>
        <v>0</v>
      </c>
      <c r="N65" s="35">
        <f>F65-'січень '!N65</f>
        <v>0</v>
      </c>
      <c r="O65" s="47">
        <f t="shared" si="3"/>
        <v>0</v>
      </c>
      <c r="P65" s="50" t="e">
        <f t="shared" si="17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14"/>
        <v>0</v>
      </c>
      <c r="H66" s="35" t="e">
        <f t="shared" si="15"/>
        <v>#DIV/0!</v>
      </c>
      <c r="I66" s="50">
        <f t="shared" si="18"/>
        <v>0</v>
      </c>
      <c r="J66" s="50" t="e">
        <f t="shared" si="16"/>
        <v>#DIV/0!</v>
      </c>
      <c r="K66" s="50"/>
      <c r="L66" s="50">
        <f t="shared" si="23"/>
        <v>0</v>
      </c>
      <c r="M66" s="35">
        <f>E66-'січень '!M66</f>
        <v>0</v>
      </c>
      <c r="N66" s="35">
        <f>F66-'січень '!N66</f>
        <v>0</v>
      </c>
      <c r="O66" s="47">
        <f t="shared" si="3"/>
        <v>0</v>
      </c>
      <c r="P66" s="50" t="e">
        <f t="shared" si="17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14"/>
        <v>0</v>
      </c>
      <c r="H67" s="35" t="e">
        <f t="shared" si="15"/>
        <v>#DIV/0!</v>
      </c>
      <c r="I67" s="50">
        <f t="shared" si="18"/>
        <v>0</v>
      </c>
      <c r="J67" s="50" t="e">
        <f t="shared" si="16"/>
        <v>#DIV/0!</v>
      </c>
      <c r="K67" s="50"/>
      <c r="L67" s="50">
        <f t="shared" si="23"/>
        <v>0</v>
      </c>
      <c r="M67" s="35">
        <f>E67-'січень '!M67</f>
        <v>0</v>
      </c>
      <c r="N67" s="35">
        <f>F67-'січень '!N67</f>
        <v>0</v>
      </c>
      <c r="O67" s="47">
        <f t="shared" si="3"/>
        <v>0</v>
      </c>
      <c r="P67" s="50" t="e">
        <f t="shared" si="17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14"/>
        <v>0.15</v>
      </c>
      <c r="H68" s="35"/>
      <c r="I68" s="50">
        <f t="shared" si="18"/>
        <v>0.15</v>
      </c>
      <c r="J68" s="50" t="e">
        <f t="shared" si="16"/>
        <v>#DIV/0!</v>
      </c>
      <c r="K68" s="50">
        <f>F68-0.15</f>
        <v>0</v>
      </c>
      <c r="L68" s="50">
        <f>F68/0.15*100</f>
        <v>100</v>
      </c>
      <c r="M68" s="35">
        <f>E68-'січень '!M68</f>
        <v>0</v>
      </c>
      <c r="N68" s="35">
        <f>F68-'січень '!N68</f>
        <v>0</v>
      </c>
      <c r="O68" s="47">
        <f t="shared" si="3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14"/>
        <v>0</v>
      </c>
      <c r="H69" s="35" t="e">
        <f>F69/E69*100</f>
        <v>#DIV/0!</v>
      </c>
      <c r="I69" s="50">
        <f t="shared" si="18"/>
        <v>0</v>
      </c>
      <c r="J69" s="50" t="e">
        <f t="shared" si="16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3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14"/>
        <v>0</v>
      </c>
      <c r="H70" s="35" t="e">
        <f>F70/E70*100</f>
        <v>#DIV/0!</v>
      </c>
      <c r="I70" s="50">
        <f t="shared" si="18"/>
        <v>0</v>
      </c>
      <c r="J70" s="50" t="e">
        <f t="shared" si="16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3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14"/>
        <v>0</v>
      </c>
      <c r="H71" s="35" t="e">
        <f>F71/E71*100</f>
        <v>#DIV/0!</v>
      </c>
      <c r="I71" s="50">
        <f t="shared" si="18"/>
        <v>-4590</v>
      </c>
      <c r="J71" s="50">
        <f t="shared" si="16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3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14"/>
        <v>0</v>
      </c>
      <c r="H72" s="35" t="e">
        <f>F72/E72*100</f>
        <v>#DIV/0!</v>
      </c>
      <c r="I72" s="50">
        <f t="shared" si="18"/>
        <v>-4410</v>
      </c>
      <c r="J72" s="50">
        <f t="shared" si="16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>N72-M72</f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2204</v>
      </c>
      <c r="F74" s="112">
        <f>F77+F86+F88+F89+F95+F96+F97+F99+F103+F87</f>
        <v>1701.42</v>
      </c>
      <c r="G74" s="44">
        <f aca="true" t="shared" si="24" ref="G74:G92">F74-E74</f>
        <v>-502.5799999999999</v>
      </c>
      <c r="H74" s="45">
        <f aca="true" t="shared" si="25" ref="H74:H86">F74/E74*100</f>
        <v>77.19691470054447</v>
      </c>
      <c r="I74" s="31">
        <f aca="true" t="shared" si="26" ref="I74:I92">F74-D74</f>
        <v>-4930.58</v>
      </c>
      <c r="J74" s="31">
        <f aca="true" t="shared" si="27" ref="J74:J92">F74/D74*100</f>
        <v>25.654704463208688</v>
      </c>
      <c r="K74" s="31">
        <f>F74-1017.6</f>
        <v>683.82</v>
      </c>
      <c r="L74" s="31">
        <f>F74/1017.6*100</f>
        <v>167.19929245283018</v>
      </c>
      <c r="M74" s="18">
        <f>M77+M86+M88+M89+M94+M95+M96+M97+M99+M87</f>
        <v>1113</v>
      </c>
      <c r="N74" s="18">
        <f>N77+N86+N88+N89+N94+N95+N96+N97+N99+N32+N103+N87</f>
        <v>679.07</v>
      </c>
      <c r="O74" s="49">
        <f aca="true" t="shared" si="28" ref="O74:O92">N74-M74</f>
        <v>-433.92999999999995</v>
      </c>
      <c r="P74" s="31">
        <f>N74/M74*100</f>
        <v>61.01257861635221</v>
      </c>
      <c r="Q74" s="31">
        <f>N74-1017.63</f>
        <v>-338.55999999999995</v>
      </c>
      <c r="R74" s="127">
        <f>N74/1017.63</f>
        <v>0.6673054056975523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24"/>
        <v>#REF!</v>
      </c>
      <c r="H75" s="35" t="e">
        <f t="shared" si="25"/>
        <v>#REF!</v>
      </c>
      <c r="I75" s="50" t="e">
        <f t="shared" si="26"/>
        <v>#REF!</v>
      </c>
      <c r="J75" s="50" t="e">
        <f t="shared" si="27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28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24"/>
        <v>0</v>
      </c>
      <c r="H76" s="35" t="e">
        <f t="shared" si="25"/>
        <v>#DIV/0!</v>
      </c>
      <c r="I76" s="50" t="e">
        <f t="shared" si="26"/>
        <v>#REF!</v>
      </c>
      <c r="J76" s="50" t="e">
        <f t="shared" si="27"/>
        <v>#REF!</v>
      </c>
      <c r="K76" s="50"/>
      <c r="L76" s="50"/>
      <c r="M76" s="52"/>
      <c r="N76" s="52"/>
      <c r="O76" s="47">
        <f t="shared" si="28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20</v>
      </c>
      <c r="F77" s="143">
        <v>0</v>
      </c>
      <c r="G77" s="43">
        <f t="shared" si="24"/>
        <v>-20</v>
      </c>
      <c r="H77" s="35">
        <f t="shared" si="25"/>
        <v>0</v>
      </c>
      <c r="I77" s="50">
        <f t="shared" si="26"/>
        <v>-60</v>
      </c>
      <c r="J77" s="50">
        <f t="shared" si="27"/>
        <v>0</v>
      </c>
      <c r="K77" s="50">
        <f>F77-0</f>
        <v>0</v>
      </c>
      <c r="L77" s="50" t="e">
        <f>F77/0*100</f>
        <v>#DIV/0!</v>
      </c>
      <c r="M77" s="35">
        <f>E77-'січень '!M77</f>
        <v>20</v>
      </c>
      <c r="N77" s="35">
        <f>F77-'січень '!N77</f>
        <v>0</v>
      </c>
      <c r="O77" s="47">
        <f t="shared" si="28"/>
        <v>-20</v>
      </c>
      <c r="P77" s="50">
        <f aca="true" t="shared" si="29" ref="P77:P86">N77/M77*100</f>
        <v>0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24"/>
        <v>0</v>
      </c>
      <c r="H78" s="35" t="e">
        <f t="shared" si="25"/>
        <v>#DIV/0!</v>
      </c>
      <c r="I78" s="50">
        <f t="shared" si="26"/>
        <v>0</v>
      </c>
      <c r="J78" s="50" t="e">
        <f t="shared" si="27"/>
        <v>#DIV/0!</v>
      </c>
      <c r="K78" s="50"/>
      <c r="L78" s="50">
        <f aca="true" t="shared" si="30" ref="L78:L101">F78</f>
        <v>0</v>
      </c>
      <c r="M78" s="35">
        <f>E78-'січень '!M78</f>
        <v>0</v>
      </c>
      <c r="N78" s="35">
        <f>F78-'січень '!N78</f>
        <v>0</v>
      </c>
      <c r="O78" s="47">
        <f t="shared" si="28"/>
        <v>0</v>
      </c>
      <c r="P78" s="50" t="e">
        <f t="shared" si="29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24"/>
        <v>0</v>
      </c>
      <c r="H79" s="35" t="e">
        <f t="shared" si="25"/>
        <v>#DIV/0!</v>
      </c>
      <c r="I79" s="50">
        <f t="shared" si="26"/>
        <v>0</v>
      </c>
      <c r="J79" s="50" t="e">
        <f t="shared" si="27"/>
        <v>#DIV/0!</v>
      </c>
      <c r="K79" s="50"/>
      <c r="L79" s="50">
        <f t="shared" si="30"/>
        <v>0</v>
      </c>
      <c r="M79" s="35">
        <f>E79-'січень '!M79</f>
        <v>0</v>
      </c>
      <c r="N79" s="35">
        <f>F79-'січень '!N79</f>
        <v>0</v>
      </c>
      <c r="O79" s="47">
        <f t="shared" si="28"/>
        <v>0</v>
      </c>
      <c r="P79" s="50" t="e">
        <f t="shared" si="29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24"/>
        <v>0</v>
      </c>
      <c r="H80" s="35" t="e">
        <f t="shared" si="25"/>
        <v>#DIV/0!</v>
      </c>
      <c r="I80" s="50">
        <f t="shared" si="26"/>
        <v>0</v>
      </c>
      <c r="J80" s="50" t="e">
        <f t="shared" si="27"/>
        <v>#DIV/0!</v>
      </c>
      <c r="K80" s="50"/>
      <c r="L80" s="50">
        <f t="shared" si="30"/>
        <v>0</v>
      </c>
      <c r="M80" s="35">
        <f>E80-'січень '!M80</f>
        <v>0</v>
      </c>
      <c r="N80" s="35">
        <f>F80-'січень '!N80</f>
        <v>0</v>
      </c>
      <c r="O80" s="47">
        <f t="shared" si="28"/>
        <v>0</v>
      </c>
      <c r="P80" s="50" t="e">
        <f t="shared" si="29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24"/>
        <v>0</v>
      </c>
      <c r="H81" s="35" t="e">
        <f t="shared" si="25"/>
        <v>#DIV/0!</v>
      </c>
      <c r="I81" s="50">
        <f t="shared" si="26"/>
        <v>0</v>
      </c>
      <c r="J81" s="50" t="e">
        <f t="shared" si="27"/>
        <v>#DIV/0!</v>
      </c>
      <c r="K81" s="50"/>
      <c r="L81" s="50">
        <f t="shared" si="30"/>
        <v>0</v>
      </c>
      <c r="M81" s="35">
        <f>E81-'січень '!M81</f>
        <v>0</v>
      </c>
      <c r="N81" s="35">
        <f>F81-'січень '!N81</f>
        <v>0</v>
      </c>
      <c r="O81" s="47">
        <f t="shared" si="28"/>
        <v>0</v>
      </c>
      <c r="P81" s="50" t="e">
        <f t="shared" si="29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24"/>
        <v>0</v>
      </c>
      <c r="H82" s="35" t="e">
        <f t="shared" si="25"/>
        <v>#DIV/0!</v>
      </c>
      <c r="I82" s="50">
        <f t="shared" si="26"/>
        <v>0</v>
      </c>
      <c r="J82" s="50" t="e">
        <f t="shared" si="27"/>
        <v>#DIV/0!</v>
      </c>
      <c r="K82" s="50"/>
      <c r="L82" s="50">
        <f t="shared" si="30"/>
        <v>0</v>
      </c>
      <c r="M82" s="35">
        <f>E82-'січень '!M82</f>
        <v>0</v>
      </c>
      <c r="N82" s="35">
        <f>F82-'січень '!N82</f>
        <v>0</v>
      </c>
      <c r="O82" s="47">
        <f t="shared" si="28"/>
        <v>0</v>
      </c>
      <c r="P82" s="50" t="e">
        <f t="shared" si="29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24"/>
        <v>0</v>
      </c>
      <c r="H83" s="35" t="e">
        <f t="shared" si="25"/>
        <v>#DIV/0!</v>
      </c>
      <c r="I83" s="50">
        <f t="shared" si="26"/>
        <v>0</v>
      </c>
      <c r="J83" s="50" t="e">
        <f t="shared" si="27"/>
        <v>#DIV/0!</v>
      </c>
      <c r="K83" s="50"/>
      <c r="L83" s="50">
        <f t="shared" si="30"/>
        <v>0</v>
      </c>
      <c r="M83" s="35">
        <f>E83-'січень '!M83</f>
        <v>0</v>
      </c>
      <c r="N83" s="35">
        <f>F83-'січень '!N83</f>
        <v>0</v>
      </c>
      <c r="O83" s="47">
        <f t="shared" si="28"/>
        <v>0</v>
      </c>
      <c r="P83" s="50" t="e">
        <f t="shared" si="29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24"/>
        <v>0</v>
      </c>
      <c r="H84" s="35" t="e">
        <f t="shared" si="25"/>
        <v>#DIV/0!</v>
      </c>
      <c r="I84" s="50">
        <f t="shared" si="26"/>
        <v>0</v>
      </c>
      <c r="J84" s="50" t="e">
        <f t="shared" si="27"/>
        <v>#DIV/0!</v>
      </c>
      <c r="K84" s="50"/>
      <c r="L84" s="50">
        <f t="shared" si="30"/>
        <v>0</v>
      </c>
      <c r="M84" s="35">
        <f>E84-'січень '!M84</f>
        <v>0</v>
      </c>
      <c r="N84" s="35">
        <f>F84-'січень '!N84</f>
        <v>0</v>
      </c>
      <c r="O84" s="47">
        <f t="shared" si="28"/>
        <v>0</v>
      </c>
      <c r="P84" s="50" t="e">
        <f t="shared" si="29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24"/>
        <v>0</v>
      </c>
      <c r="H85" s="35" t="e">
        <f t="shared" si="25"/>
        <v>#DIV/0!</v>
      </c>
      <c r="I85" s="50">
        <f t="shared" si="26"/>
        <v>0</v>
      </c>
      <c r="J85" s="50" t="e">
        <f t="shared" si="27"/>
        <v>#DIV/0!</v>
      </c>
      <c r="K85" s="50"/>
      <c r="L85" s="50">
        <f t="shared" si="30"/>
        <v>0</v>
      </c>
      <c r="M85" s="35">
        <f>E85-'січень '!M85</f>
        <v>0</v>
      </c>
      <c r="N85" s="35">
        <f>F85-'січень '!N85</f>
        <v>0</v>
      </c>
      <c r="O85" s="47">
        <f t="shared" si="28"/>
        <v>0</v>
      </c>
      <c r="P85" s="50" t="e">
        <f t="shared" si="29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24"/>
        <v>0</v>
      </c>
      <c r="H86" s="35" t="e">
        <f t="shared" si="25"/>
        <v>#DIV/0!</v>
      </c>
      <c r="I86" s="50">
        <f t="shared" si="26"/>
        <v>0</v>
      </c>
      <c r="J86" s="50" t="e">
        <f t="shared" si="27"/>
        <v>#DIV/0!</v>
      </c>
      <c r="K86" s="50">
        <f>F86-0</f>
        <v>0</v>
      </c>
      <c r="L86" s="50" t="e">
        <f>F86/0*100</f>
        <v>#DIV/0!</v>
      </c>
      <c r="M86" s="35">
        <f>E86-'січень '!M86</f>
        <v>0</v>
      </c>
      <c r="N86" s="35">
        <f>F86-'січень '!N86</f>
        <v>0</v>
      </c>
      <c r="O86" s="47">
        <f t="shared" si="28"/>
        <v>0</v>
      </c>
      <c r="P86" s="50" t="e">
        <f t="shared" si="29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>E87-'січень '!M87</f>
        <v>0</v>
      </c>
      <c r="N87" s="35">
        <f>F87-'січень '!N87</f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4</v>
      </c>
      <c r="F88" s="143">
        <v>0</v>
      </c>
      <c r="G88" s="43">
        <f t="shared" si="24"/>
        <v>-4</v>
      </c>
      <c r="H88" s="35">
        <f>F88/E88*100</f>
        <v>0</v>
      </c>
      <c r="I88" s="50">
        <f t="shared" si="26"/>
        <v>-32</v>
      </c>
      <c r="J88" s="50">
        <f t="shared" si="27"/>
        <v>0</v>
      </c>
      <c r="K88" s="50">
        <f>F88-0</f>
        <v>0</v>
      </c>
      <c r="L88" s="50" t="e">
        <f>F88/0*100</f>
        <v>#DIV/0!</v>
      </c>
      <c r="M88" s="35">
        <f>E88-'січень '!M88</f>
        <v>3</v>
      </c>
      <c r="N88" s="35">
        <f>F88-'січень '!N88</f>
        <v>0</v>
      </c>
      <c r="O88" s="47">
        <f t="shared" si="28"/>
        <v>-3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20</v>
      </c>
      <c r="F89" s="143">
        <v>9.61</v>
      </c>
      <c r="G89" s="43">
        <f t="shared" si="24"/>
        <v>-10.39</v>
      </c>
      <c r="H89" s="35">
        <f>F89/E89*100</f>
        <v>48.05</v>
      </c>
      <c r="I89" s="50">
        <f t="shared" si="26"/>
        <v>-50.39</v>
      </c>
      <c r="J89" s="50">
        <f t="shared" si="27"/>
        <v>16.016666666666666</v>
      </c>
      <c r="K89" s="50">
        <f>F89-9.02</f>
        <v>0.5899999999999999</v>
      </c>
      <c r="L89" s="50">
        <f>F89/9.02*100</f>
        <v>106.54101995565411</v>
      </c>
      <c r="M89" s="35">
        <f>E89-'січень '!M89</f>
        <v>10</v>
      </c>
      <c r="N89" s="35">
        <f>F89-'січень '!N89</f>
        <v>2.039999999999999</v>
      </c>
      <c r="O89" s="47">
        <f t="shared" si="28"/>
        <v>-7.960000000000001</v>
      </c>
      <c r="P89" s="50">
        <f>N89/M89*100</f>
        <v>20.39999999999999</v>
      </c>
      <c r="Q89" s="50">
        <f>N89-9.02</f>
        <v>-6.98</v>
      </c>
      <c r="R89" s="126">
        <f>N89/9.02</f>
        <v>0.22616407982261633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24"/>
        <v>0</v>
      </c>
      <c r="H90" s="35" t="e">
        <f>F90/E90*100</f>
        <v>#DIV/0!</v>
      </c>
      <c r="I90" s="50">
        <f t="shared" si="26"/>
        <v>0</v>
      </c>
      <c r="J90" s="50" t="e">
        <f t="shared" si="27"/>
        <v>#DIV/0!</v>
      </c>
      <c r="K90" s="50"/>
      <c r="L90" s="50">
        <f t="shared" si="30"/>
        <v>0</v>
      </c>
      <c r="M90" s="35">
        <f>E90-'січень '!M90</f>
        <v>0</v>
      </c>
      <c r="N90" s="35">
        <f>F90-'січень '!N90</f>
        <v>0</v>
      </c>
      <c r="O90" s="47">
        <f t="shared" si="28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24"/>
        <v>0</v>
      </c>
      <c r="H91" s="35" t="e">
        <f>F91/E91*100</f>
        <v>#DIV/0!</v>
      </c>
      <c r="I91" s="50">
        <f t="shared" si="26"/>
        <v>0</v>
      </c>
      <c r="J91" s="50" t="e">
        <f t="shared" si="27"/>
        <v>#DIV/0!</v>
      </c>
      <c r="K91" s="50"/>
      <c r="L91" s="50">
        <f t="shared" si="30"/>
        <v>0</v>
      </c>
      <c r="M91" s="35">
        <f>E91-'січень '!M91</f>
        <v>0</v>
      </c>
      <c r="N91" s="35">
        <f>F91-'січень '!N91</f>
        <v>0</v>
      </c>
      <c r="O91" s="47">
        <f t="shared" si="28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24"/>
        <v>0</v>
      </c>
      <c r="H92" s="35" t="e">
        <f>F92/E92*100</f>
        <v>#DIV/0!</v>
      </c>
      <c r="I92" s="50">
        <f t="shared" si="26"/>
        <v>0</v>
      </c>
      <c r="J92" s="50" t="e">
        <f t="shared" si="27"/>
        <v>#DIV/0!</v>
      </c>
      <c r="K92" s="50"/>
      <c r="L92" s="50">
        <f t="shared" si="30"/>
        <v>0</v>
      </c>
      <c r="M92" s="35">
        <f>E92-'січень '!M92</f>
        <v>0</v>
      </c>
      <c r="N92" s="35">
        <f>F92-'січень '!N92</f>
        <v>0</v>
      </c>
      <c r="O92" s="47">
        <f t="shared" si="28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0"/>
        <v>0</v>
      </c>
      <c r="M93" s="35">
        <f>E93-'січень '!M93</f>
        <v>0</v>
      </c>
      <c r="N93" s="35">
        <f>F93-'січень '!N93</f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31" ref="G94:G101">F94-E94</f>
        <v>0</v>
      </c>
      <c r="H94" s="35"/>
      <c r="I94" s="50">
        <f aca="true" t="shared" si="32" ref="I94:I100">F94-D94</f>
        <v>0</v>
      </c>
      <c r="J94" s="50"/>
      <c r="K94" s="50"/>
      <c r="L94" s="50">
        <f t="shared" si="30"/>
        <v>0</v>
      </c>
      <c r="M94" s="35">
        <f>E94-'січень '!M94</f>
        <v>0</v>
      </c>
      <c r="N94" s="35">
        <f>F94-'січень '!N94</f>
        <v>0</v>
      </c>
      <c r="O94" s="47">
        <f aca="true" t="shared" si="3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1260</v>
      </c>
      <c r="F95" s="143">
        <v>1319.14</v>
      </c>
      <c r="G95" s="43">
        <f t="shared" si="31"/>
        <v>59.1400000000001</v>
      </c>
      <c r="H95" s="35">
        <f>F95/E95*100</f>
        <v>104.6936507936508</v>
      </c>
      <c r="I95" s="50">
        <f t="shared" si="32"/>
        <v>-2460.8599999999997</v>
      </c>
      <c r="J95" s="50">
        <f>F95/D95*100</f>
        <v>34.8978835978836</v>
      </c>
      <c r="K95" s="50">
        <f>F95-647.49</f>
        <v>671.6500000000001</v>
      </c>
      <c r="L95" s="50">
        <f>F95/647.49*100</f>
        <v>203.73133175801942</v>
      </c>
      <c r="M95" s="35">
        <f>E95-'січень '!M95</f>
        <v>630</v>
      </c>
      <c r="N95" s="35">
        <f>F95-'січень '!N95</f>
        <v>628.44</v>
      </c>
      <c r="O95" s="47">
        <f t="shared" si="33"/>
        <v>-1.5599999999999454</v>
      </c>
      <c r="P95" s="50">
        <f>N95/M95*100</f>
        <v>99.75238095238096</v>
      </c>
      <c r="Q95" s="50">
        <f>N95-647.49</f>
        <v>-19.049999999999955</v>
      </c>
      <c r="R95" s="126">
        <f>N95/647.49</f>
        <v>0.9705786961960803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140</v>
      </c>
      <c r="F96" s="143">
        <v>69.56</v>
      </c>
      <c r="G96" s="43">
        <f t="shared" si="31"/>
        <v>-70.44</v>
      </c>
      <c r="H96" s="35">
        <f>F96/E96*100</f>
        <v>49.68571428571429</v>
      </c>
      <c r="I96" s="50">
        <f t="shared" si="32"/>
        <v>-350.44</v>
      </c>
      <c r="J96" s="50">
        <f>F96/D96*100</f>
        <v>16.561904761904763</v>
      </c>
      <c r="K96" s="50">
        <f>F96-79.51</f>
        <v>-9.950000000000003</v>
      </c>
      <c r="L96" s="50">
        <f>F96/79.51*100</f>
        <v>87.48585083637278</v>
      </c>
      <c r="M96" s="35">
        <f>E96-'січень '!M96</f>
        <v>70</v>
      </c>
      <c r="N96" s="35">
        <f>F96-'січень '!N96</f>
        <v>10.350000000000001</v>
      </c>
      <c r="O96" s="47">
        <f t="shared" si="33"/>
        <v>-59.65</v>
      </c>
      <c r="P96" s="50">
        <f>N96/M96*100</f>
        <v>14.785714285714288</v>
      </c>
      <c r="Q96" s="50">
        <f>N96-79.51</f>
        <v>-69.16</v>
      </c>
      <c r="R96" s="126">
        <f>N96/79.51</f>
        <v>0.13017230537039368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31"/>
        <v>0</v>
      </c>
      <c r="H97" s="35"/>
      <c r="I97" s="50">
        <f t="shared" si="32"/>
        <v>0</v>
      </c>
      <c r="J97" s="50"/>
      <c r="K97" s="50"/>
      <c r="L97" s="50"/>
      <c r="M97" s="35">
        <f>E97-'січень '!M97</f>
        <v>0</v>
      </c>
      <c r="N97" s="35">
        <f>F97-'січень '!N97</f>
        <v>0</v>
      </c>
      <c r="O97" s="47">
        <f t="shared" si="3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31"/>
        <v>0</v>
      </c>
      <c r="H98" s="35" t="e">
        <f>F98/E98*100</f>
        <v>#DIV/0!</v>
      </c>
      <c r="I98" s="50">
        <f t="shared" si="32"/>
        <v>0</v>
      </c>
      <c r="J98" s="50" t="e">
        <f>F98/D98*100</f>
        <v>#DIV/0!</v>
      </c>
      <c r="K98" s="50"/>
      <c r="L98" s="50">
        <f t="shared" si="30"/>
        <v>0</v>
      </c>
      <c r="M98" s="35">
        <f>E98-'січень '!M98</f>
        <v>0</v>
      </c>
      <c r="N98" s="35">
        <f>F98-'січень '!N98</f>
        <v>0</v>
      </c>
      <c r="O98" s="47">
        <f t="shared" si="3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760</v>
      </c>
      <c r="F99" s="143">
        <v>301.44</v>
      </c>
      <c r="G99" s="43">
        <f t="shared" si="31"/>
        <v>-458.56</v>
      </c>
      <c r="H99" s="35">
        <f>F99/E99*100</f>
        <v>39.66315789473684</v>
      </c>
      <c r="I99" s="50">
        <f t="shared" si="32"/>
        <v>-1978.56</v>
      </c>
      <c r="J99" s="50">
        <f>F99/D99*100</f>
        <v>13.221052631578948</v>
      </c>
      <c r="K99" s="50">
        <f>F99-277.38</f>
        <v>24.060000000000002</v>
      </c>
      <c r="L99" s="50">
        <f>F99/277.38*100</f>
        <v>108.67402119835606</v>
      </c>
      <c r="M99" s="35">
        <f>E99-'січень '!M99</f>
        <v>380</v>
      </c>
      <c r="N99" s="35">
        <f>F99-'січень '!N99</f>
        <v>38.24000000000001</v>
      </c>
      <c r="O99" s="47">
        <f t="shared" si="33"/>
        <v>-341.76</v>
      </c>
      <c r="P99" s="50">
        <f>N99/M99*100</f>
        <v>10.063157894736845</v>
      </c>
      <c r="Q99" s="50">
        <f>N99-277.38</f>
        <v>-239.14</v>
      </c>
      <c r="R99" s="126">
        <f>N99/277.38</f>
        <v>0.13786141754993153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31"/>
        <v>0</v>
      </c>
      <c r="H100" s="35" t="e">
        <f>F100/E100*100</f>
        <v>#DIV/0!</v>
      </c>
      <c r="I100" s="50">
        <f t="shared" si="32"/>
        <v>0</v>
      </c>
      <c r="J100" s="50" t="e">
        <f>F100/D100*100</f>
        <v>#DIV/0!</v>
      </c>
      <c r="K100" s="50"/>
      <c r="L100" s="50">
        <f t="shared" si="30"/>
        <v>0</v>
      </c>
      <c r="M100" s="35">
        <f>E100-'січень '!M100</f>
        <v>0</v>
      </c>
      <c r="N100" s="35">
        <f>F100-'січень '!N100</f>
        <v>0</v>
      </c>
      <c r="O100" s="47">
        <f t="shared" si="3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3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0"/>
        <v>0</v>
      </c>
      <c r="M101" s="35">
        <f>E101-'січень '!M101</f>
        <v>0</v>
      </c>
      <c r="N101" s="35">
        <f>F101-'січень '!N101</f>
        <v>0</v>
      </c>
      <c r="O101" s="47">
        <f t="shared" si="3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87</v>
      </c>
      <c r="G102" s="135"/>
      <c r="H102" s="137"/>
      <c r="I102" s="136"/>
      <c r="J102" s="136"/>
      <c r="K102" s="136">
        <f>F102-64.93</f>
        <v>22.069999999999993</v>
      </c>
      <c r="L102" s="138">
        <f>F102/64.93*100</f>
        <v>133.99045125519788</v>
      </c>
      <c r="M102" s="35">
        <f>E102-'січень '!M102</f>
        <v>0</v>
      </c>
      <c r="N102" s="35">
        <f>F102-'січень '!N102</f>
        <v>5.099999999999994</v>
      </c>
      <c r="O102" s="47"/>
      <c r="P102" s="50"/>
      <c r="Q102" s="50">
        <f>N102-64.93</f>
        <v>-59.83000000000001</v>
      </c>
      <c r="R102" s="126">
        <f>N102/64.93</f>
        <v>0.07854612659787454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3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>E103-'січень '!M103</f>
        <v>0</v>
      </c>
      <c r="N103" s="35">
        <f>F103-'січень '!N103</f>
        <v>0</v>
      </c>
      <c r="O103" s="47">
        <f aca="true" t="shared" si="3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3</v>
      </c>
      <c r="F104" s="143">
        <v>1.8</v>
      </c>
      <c r="G104" s="43">
        <f>F104-E104</f>
        <v>-1.2</v>
      </c>
      <c r="H104" s="35"/>
      <c r="I104" s="50">
        <f t="shared" si="34"/>
        <v>-9.2</v>
      </c>
      <c r="J104" s="50">
        <f aca="true" t="shared" si="3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>E104-'січень '!M104</f>
        <v>1</v>
      </c>
      <c r="N104" s="35">
        <f>F104-'січень '!N104</f>
        <v>0</v>
      </c>
      <c r="O104" s="47">
        <f t="shared" si="35"/>
        <v>-1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0.02</v>
      </c>
      <c r="G105" s="43"/>
      <c r="H105" s="35"/>
      <c r="I105" s="50"/>
      <c r="J105" s="50"/>
      <c r="K105" s="50"/>
      <c r="L105" s="50"/>
      <c r="M105" s="35">
        <f>E105-'січень '!M105</f>
        <v>0</v>
      </c>
      <c r="N105" s="35">
        <f>F105-'січень '!N105</f>
        <v>0.02</v>
      </c>
      <c r="O105" s="47">
        <f t="shared" si="35"/>
        <v>0.02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49110.369999999995</v>
      </c>
      <c r="F106" s="112">
        <f>F8+F74+F104+F105</f>
        <v>39840.32</v>
      </c>
      <c r="G106" s="44">
        <f>F106-E106</f>
        <v>-9270.049999999996</v>
      </c>
      <c r="H106" s="45">
        <f>F106/E106*100</f>
        <v>81.12404773167053</v>
      </c>
      <c r="I106" s="31">
        <f t="shared" si="34"/>
        <v>-156573.38</v>
      </c>
      <c r="J106" s="31">
        <f t="shared" si="36"/>
        <v>20.283880401418024</v>
      </c>
      <c r="K106" s="31">
        <f>F106-34768</f>
        <v>5072.32</v>
      </c>
      <c r="L106" s="31">
        <f>F106/34768*100</f>
        <v>114.58904739990797</v>
      </c>
      <c r="M106" s="18">
        <f>M8+M74+M104+M105</f>
        <v>29339.42</v>
      </c>
      <c r="N106" s="18">
        <f>N8+N74+N104+N105</f>
        <v>3727.399999999998</v>
      </c>
      <c r="O106" s="49">
        <f t="shared" si="35"/>
        <v>-25612.02</v>
      </c>
      <c r="P106" s="31">
        <f>N106/M106*100</f>
        <v>12.704409289617852</v>
      </c>
      <c r="Q106" s="31">
        <f>N106-34768</f>
        <v>-31040.600000000002</v>
      </c>
      <c r="R106" s="127">
        <f>N106/34768</f>
        <v>0.10720777726645185</v>
      </c>
      <c r="S106" s="159">
        <f>S123+S127+S10</f>
        <v>3735.7520000000004</v>
      </c>
      <c r="T106" s="161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32044.37</v>
      </c>
      <c r="F107" s="112">
        <f>F10+F96</f>
        <v>31792.45</v>
      </c>
      <c r="G107" s="64">
        <f>G10-G18+G96</f>
        <v>-251.91999999999956</v>
      </c>
      <c r="H107" s="65">
        <f>F107/E107*100</f>
        <v>99.21384005989196</v>
      </c>
      <c r="I107" s="46">
        <f t="shared" si="34"/>
        <v>-112591.25000000001</v>
      </c>
      <c r="J107" s="46">
        <f t="shared" si="36"/>
        <v>22.019417704353053</v>
      </c>
      <c r="K107" s="46">
        <f>F107-26647.6</f>
        <v>5144.850000000002</v>
      </c>
      <c r="L107" s="46">
        <f>F107/26647.6*100</f>
        <v>119.3069919992795</v>
      </c>
      <c r="M107" s="64">
        <f>M10-M18+M96</f>
        <v>20629.42</v>
      </c>
      <c r="N107" s="64">
        <f>N10-N18+N96</f>
        <v>2721.519999999998</v>
      </c>
      <c r="O107" s="47">
        <f t="shared" si="35"/>
        <v>-17907.9</v>
      </c>
      <c r="P107" s="46">
        <f>N107/M107*100</f>
        <v>13.192421308984928</v>
      </c>
      <c r="Q107" s="46">
        <f>N107-26647.62</f>
        <v>-23926.100000000002</v>
      </c>
      <c r="R107" s="128">
        <f>N107/26647.62</f>
        <v>0.10212994631415483</v>
      </c>
      <c r="S107" s="168">
        <v>1855.3</v>
      </c>
      <c r="T107" s="169" t="s">
        <v>204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17065.999999999996</v>
      </c>
      <c r="F108" s="112">
        <f>F106-F107</f>
        <v>8047.869999999999</v>
      </c>
      <c r="G108" s="55">
        <f>F108-E108</f>
        <v>-9018.129999999997</v>
      </c>
      <c r="H108" s="65">
        <f>F108/E108*100</f>
        <v>47.15733036446736</v>
      </c>
      <c r="I108" s="46">
        <f t="shared" si="34"/>
        <v>-43982.130000000005</v>
      </c>
      <c r="J108" s="46">
        <f t="shared" si="36"/>
        <v>15.467749375360368</v>
      </c>
      <c r="K108" s="46">
        <f>F108-8120.4</f>
        <v>-72.53000000000065</v>
      </c>
      <c r="L108" s="46">
        <f>F108/8120.4*100</f>
        <v>99.10681739815772</v>
      </c>
      <c r="M108" s="64">
        <f>M106-M107</f>
        <v>8710</v>
      </c>
      <c r="N108" s="64">
        <f>N106-N107</f>
        <v>1005.8799999999997</v>
      </c>
      <c r="O108" s="47">
        <f t="shared" si="35"/>
        <v>-7704.120000000001</v>
      </c>
      <c r="P108" s="46">
        <f>N108/M108*100</f>
        <v>11.54856486796785</v>
      </c>
      <c r="Q108" s="46">
        <f>N108-8120.38</f>
        <v>-7114.5</v>
      </c>
      <c r="R108" s="167">
        <f>N108/8120.38</f>
        <v>0.12387105036956395</v>
      </c>
      <c r="S108" s="170"/>
      <c r="T108" s="171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34"/>
        <v>0</v>
      </c>
      <c r="J109" s="46" t="e">
        <f t="shared" si="36"/>
        <v>#DIV/0!</v>
      </c>
      <c r="K109" s="46"/>
      <c r="L109" s="46"/>
      <c r="M109" s="113">
        <f>E109</f>
        <v>0</v>
      </c>
      <c r="N109" s="64"/>
      <c r="O109" s="109">
        <f t="shared" si="3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3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37" ref="G113:G125">F113-E113</f>
        <v>0</v>
      </c>
      <c r="H113" s="35"/>
      <c r="I113" s="53">
        <f aca="true" t="shared" si="3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>E113-'січень '!M113</f>
        <v>0</v>
      </c>
      <c r="N113" s="35">
        <f>F113-'січень '!N113</f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1427.72</v>
      </c>
      <c r="F114" s="146">
        <v>17.26</v>
      </c>
      <c r="G114" s="43">
        <f t="shared" si="37"/>
        <v>-1410.46</v>
      </c>
      <c r="H114" s="35">
        <f aca="true" t="shared" si="39" ref="H114:H125">F114/E114*100</f>
        <v>1.2089205166279104</v>
      </c>
      <c r="I114" s="53">
        <f t="shared" si="38"/>
        <v>-4265.897</v>
      </c>
      <c r="J114" s="53">
        <f aca="true" t="shared" si="40" ref="J114:J120">F114/D114*100</f>
        <v>0.40297378779250914</v>
      </c>
      <c r="K114" s="53">
        <f>F114-68.14</f>
        <v>-50.879999999999995</v>
      </c>
      <c r="L114" s="53">
        <f>F114/68.14*100</f>
        <v>25.330202524214858</v>
      </c>
      <c r="M114" s="35">
        <f>E114-'січень '!M114</f>
        <v>713.861</v>
      </c>
      <c r="N114" s="35">
        <f>F114-'січень '!N114</f>
        <v>0.4400000000000013</v>
      </c>
      <c r="O114" s="47">
        <f aca="true" t="shared" si="41" ref="O114:O125">N114-M114</f>
        <v>-713.4209999999999</v>
      </c>
      <c r="P114" s="53">
        <f>N114/M114*100</f>
        <v>0.06163664915158571</v>
      </c>
      <c r="Q114" s="53">
        <f>N114-68.14</f>
        <v>-67.7</v>
      </c>
      <c r="R114" s="129">
        <f>N114/68.14</f>
        <v>0.006457293806868231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50</v>
      </c>
      <c r="F115" s="146">
        <v>4.44</v>
      </c>
      <c r="G115" s="43">
        <f t="shared" si="37"/>
        <v>-45.56</v>
      </c>
      <c r="H115" s="35">
        <f t="shared" si="39"/>
        <v>8.88</v>
      </c>
      <c r="I115" s="53">
        <f t="shared" si="38"/>
        <v>-145.56</v>
      </c>
      <c r="J115" s="53">
        <f t="shared" si="40"/>
        <v>2.96</v>
      </c>
      <c r="K115" s="53">
        <f>F115-24.53</f>
        <v>-20.09</v>
      </c>
      <c r="L115" s="53">
        <f>F115/24.53*100</f>
        <v>18.100285364859356</v>
      </c>
      <c r="M115" s="35">
        <f>E115-'січень '!M115</f>
        <v>25</v>
      </c>
      <c r="N115" s="35">
        <f>F115-'січень '!N115</f>
        <v>0</v>
      </c>
      <c r="O115" s="47">
        <f t="shared" si="41"/>
        <v>-25</v>
      </c>
      <c r="P115" s="53">
        <f>N115/M115*100</f>
        <v>0</v>
      </c>
      <c r="Q115" s="53">
        <f>N115-24.53</f>
        <v>-24.53</v>
      </c>
      <c r="R115" s="129">
        <f>N115/24.53</f>
        <v>0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1477.72</v>
      </c>
      <c r="F116" s="145">
        <f>SUM(F113:F115)</f>
        <v>21.700000000000003</v>
      </c>
      <c r="G116" s="55">
        <f t="shared" si="37"/>
        <v>-1456.02</v>
      </c>
      <c r="H116" s="65">
        <f t="shared" si="39"/>
        <v>1.4684784668272746</v>
      </c>
      <c r="I116" s="54">
        <f t="shared" si="38"/>
        <v>-4411.457</v>
      </c>
      <c r="J116" s="54">
        <f t="shared" si="40"/>
        <v>0.4894931535246778</v>
      </c>
      <c r="K116" s="54">
        <f>F116-92.85</f>
        <v>-71.14999999999999</v>
      </c>
      <c r="L116" s="54">
        <f>F116/92.85*100</f>
        <v>23.371028540656976</v>
      </c>
      <c r="M116" s="55">
        <f>M114+M115+M113</f>
        <v>738.861</v>
      </c>
      <c r="N116" s="33">
        <f>SUM(N113:N115)</f>
        <v>0.4400000000000013</v>
      </c>
      <c r="O116" s="54">
        <f t="shared" si="41"/>
        <v>-738.4209999999999</v>
      </c>
      <c r="P116" s="54">
        <f>N116/M116*100</f>
        <v>0.05955111989941292</v>
      </c>
      <c r="Q116" s="54">
        <f>N116-92.85</f>
        <v>-92.41</v>
      </c>
      <c r="R116" s="130">
        <f>N116/92.85</f>
        <v>0.004738826063543364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37"/>
        <v>0</v>
      </c>
      <c r="H117" s="35" t="e">
        <f t="shared" si="39"/>
        <v>#DIV/0!</v>
      </c>
      <c r="I117" s="53">
        <f t="shared" si="38"/>
        <v>0</v>
      </c>
      <c r="J117" s="53" t="e">
        <f t="shared" si="40"/>
        <v>#DIV/0!</v>
      </c>
      <c r="K117" s="53"/>
      <c r="L117" s="53"/>
      <c r="M117" s="36">
        <v>0</v>
      </c>
      <c r="N117" s="36">
        <f>F117</f>
        <v>0</v>
      </c>
      <c r="O117" s="47">
        <f t="shared" si="41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85.15</v>
      </c>
      <c r="G118" s="43">
        <f t="shared" si="37"/>
        <v>85.15</v>
      </c>
      <c r="H118" s="35" t="e">
        <f t="shared" si="39"/>
        <v>#DIV/0!</v>
      </c>
      <c r="I118" s="53">
        <f t="shared" si="38"/>
        <v>85.15</v>
      </c>
      <c r="J118" s="53" t="e">
        <f t="shared" si="40"/>
        <v>#DIV/0!</v>
      </c>
      <c r="K118" s="53">
        <f>F118-54.32</f>
        <v>30.830000000000005</v>
      </c>
      <c r="L118" s="53">
        <f>F118/54.32*100</f>
        <v>156.75625920471282</v>
      </c>
      <c r="M118" s="35">
        <f>'січень '!M118</f>
        <v>0</v>
      </c>
      <c r="N118" s="35">
        <f>F118-'січень '!N118</f>
        <v>0.480000000000004</v>
      </c>
      <c r="O118" s="47" t="s">
        <v>166</v>
      </c>
      <c r="P118" s="53"/>
      <c r="Q118" s="53">
        <f>N118-54.32</f>
        <v>-53.839999999999996</v>
      </c>
      <c r="R118" s="129"/>
      <c r="S118" s="34">
        <f>F118</f>
        <v>85.15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9983.34</v>
      </c>
      <c r="G119" s="43">
        <f t="shared" si="37"/>
        <v>9983.34</v>
      </c>
      <c r="H119" s="35" t="e">
        <f t="shared" si="39"/>
        <v>#DIV/0!</v>
      </c>
      <c r="I119" s="47">
        <f t="shared" si="38"/>
        <v>9983.34</v>
      </c>
      <c r="J119" s="53" t="e">
        <f t="shared" si="40"/>
        <v>#DIV/0!</v>
      </c>
      <c r="K119" s="53">
        <f>F119-7479.86</f>
        <v>2503.4800000000005</v>
      </c>
      <c r="L119" s="53">
        <f>F119/7479.86*100</f>
        <v>133.46961039377743</v>
      </c>
      <c r="M119" s="35">
        <f>'січень '!M119</f>
        <v>0</v>
      </c>
      <c r="N119" s="35">
        <f>F119-'січень '!N119</f>
        <v>1648.8600000000006</v>
      </c>
      <c r="O119" s="47">
        <f t="shared" si="41"/>
        <v>1648.8600000000006</v>
      </c>
      <c r="P119" s="53" t="e">
        <f aca="true" t="shared" si="42" ref="P119:P124">N119/M119*100</f>
        <v>#DIV/0!</v>
      </c>
      <c r="Q119" s="53">
        <f>N119-7479.86</f>
        <v>-5830.999999999999</v>
      </c>
      <c r="R119" s="129">
        <f>N119/7479.86</f>
        <v>0.2204399547585116</v>
      </c>
      <c r="S119" s="34">
        <f>F119</f>
        <v>9983.34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37"/>
        <v>0.03</v>
      </c>
      <c r="H120" s="35" t="e">
        <f t="shared" si="39"/>
        <v>#DIV/0!</v>
      </c>
      <c r="I120" s="53">
        <f t="shared" si="38"/>
        <v>0.03</v>
      </c>
      <c r="J120" s="53" t="e">
        <f t="shared" si="40"/>
        <v>#DIV/0!</v>
      </c>
      <c r="K120" s="53">
        <f>F120-0.04</f>
        <v>-0.010000000000000002</v>
      </c>
      <c r="L120" s="53">
        <f>F120/0.04*100</f>
        <v>75</v>
      </c>
      <c r="M120" s="35">
        <f>'січень '!M120</f>
        <v>0</v>
      </c>
      <c r="N120" s="35">
        <f>F120-'січень '!N120</f>
        <v>0</v>
      </c>
      <c r="O120" s="47">
        <f t="shared" si="41"/>
        <v>0</v>
      </c>
      <c r="P120" s="53" t="e">
        <f t="shared" si="42"/>
        <v>#DIV/0!</v>
      </c>
      <c r="Q120" s="53">
        <f>N120-0.04</f>
        <v>-0.04</v>
      </c>
      <c r="R120" s="129">
        <f>N120/0.04</f>
        <v>0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37"/>
        <v>259.69</v>
      </c>
      <c r="H121" s="35" t="e">
        <f t="shared" si="39"/>
        <v>#DIV/0!</v>
      </c>
      <c r="I121" s="53">
        <f t="shared" si="3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'січень '!M121</f>
        <v>0</v>
      </c>
      <c r="N121" s="35">
        <f>F121-'січень '!N121</f>
        <v>0</v>
      </c>
      <c r="O121" s="47">
        <f t="shared" si="41"/>
        <v>0</v>
      </c>
      <c r="P121" s="53" t="e">
        <f t="shared" si="42"/>
        <v>#DIV/0!</v>
      </c>
      <c r="Q121" s="53">
        <f>N121-450.01</f>
        <v>-450.01</v>
      </c>
      <c r="R121" s="129">
        <f>N121/450.01</f>
        <v>0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37"/>
        <v>-16.04</v>
      </c>
      <c r="H122" s="35" t="e">
        <f t="shared" si="39"/>
        <v>#DIV/0!</v>
      </c>
      <c r="I122" s="53">
        <f t="shared" si="3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'січень '!M122</f>
        <v>0</v>
      </c>
      <c r="N122" s="35">
        <f>F122-'січень '!N122</f>
        <v>0</v>
      </c>
      <c r="O122" s="47">
        <f t="shared" si="41"/>
        <v>0</v>
      </c>
      <c r="P122" s="53" t="e">
        <f t="shared" si="42"/>
        <v>#DIV/0!</v>
      </c>
      <c r="Q122" s="53">
        <f>N122-1.05</f>
        <v>-1.05</v>
      </c>
      <c r="R122" s="129">
        <f>N122/1.05</f>
        <v>0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10312.17</v>
      </c>
      <c r="G123" s="55">
        <f t="shared" si="37"/>
        <v>10312.17</v>
      </c>
      <c r="H123" s="65" t="e">
        <f t="shared" si="39"/>
        <v>#DIV/0!</v>
      </c>
      <c r="I123" s="54">
        <f t="shared" si="38"/>
        <v>10312.17</v>
      </c>
      <c r="J123" s="54" t="e">
        <f>F123/D123*100</f>
        <v>#DIV/0!</v>
      </c>
      <c r="K123" s="54">
        <f>F123-7985.28</f>
        <v>2326.8900000000003</v>
      </c>
      <c r="L123" s="54">
        <f>F123/7985.28*100</f>
        <v>129.13974212551094</v>
      </c>
      <c r="M123" s="55">
        <f>M119+M120+M121+M122+M118</f>
        <v>0</v>
      </c>
      <c r="N123" s="55">
        <f>N119+N120+N121+N122+N118</f>
        <v>1649.3400000000006</v>
      </c>
      <c r="O123" s="54">
        <f t="shared" si="41"/>
        <v>1649.3400000000006</v>
      </c>
      <c r="P123" s="54" t="e">
        <f t="shared" si="42"/>
        <v>#DIV/0!</v>
      </c>
      <c r="Q123" s="54">
        <f>N123-7985.28</f>
        <v>-6335.939999999999</v>
      </c>
      <c r="R123" s="130">
        <f>N123/7985.28</f>
        <v>0.20654754748737686</v>
      </c>
      <c r="S123" s="160">
        <f>S118+S119</f>
        <v>10068.49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37"/>
        <v>0</v>
      </c>
      <c r="H124" s="35" t="e">
        <f t="shared" si="39"/>
        <v>#DIV/0!</v>
      </c>
      <c r="I124" s="53">
        <f t="shared" si="3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>E124-'січень '!M124</f>
        <v>0</v>
      </c>
      <c r="N124" s="35">
        <f>F124-'січень '!N124</f>
        <v>0</v>
      </c>
      <c r="O124" s="47">
        <f t="shared" si="41"/>
        <v>0</v>
      </c>
      <c r="P124" s="53" t="e">
        <f t="shared" si="42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37"/>
        <v>0</v>
      </c>
      <c r="H125" s="35" t="e">
        <f t="shared" si="39"/>
        <v>#DIV/0!</v>
      </c>
      <c r="I125" s="56"/>
      <c r="J125" s="56"/>
      <c r="K125" s="56"/>
      <c r="L125" s="53">
        <f>F125</f>
        <v>0</v>
      </c>
      <c r="M125" s="35">
        <f>E125-'січень '!M125</f>
        <v>0</v>
      </c>
      <c r="N125" s="35">
        <f>F125-'січень '!N125</f>
        <v>0</v>
      </c>
      <c r="O125" s="47">
        <f t="shared" si="41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>E126-'січень '!M126</f>
        <v>0</v>
      </c>
      <c r="N126" s="35">
        <f>F126-'січень '!N126</f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2862.84</v>
      </c>
      <c r="F127" s="146">
        <v>11.84</v>
      </c>
      <c r="G127" s="43">
        <f aca="true" t="shared" si="43" ref="G127:G134">F127-E127</f>
        <v>-2851</v>
      </c>
      <c r="H127" s="35">
        <f>F127/E127*100</f>
        <v>0.4135753307904039</v>
      </c>
      <c r="I127" s="53">
        <f aca="true" t="shared" si="44" ref="I127:I134">F127-D127</f>
        <v>-8576.669</v>
      </c>
      <c r="J127" s="53">
        <f>F127/D127*100</f>
        <v>0.13785862016329026</v>
      </c>
      <c r="K127" s="53">
        <f>F127-17.67</f>
        <v>-5.830000000000002</v>
      </c>
      <c r="L127" s="53">
        <f>F127/84.2*100</f>
        <v>14.061757719714961</v>
      </c>
      <c r="M127" s="35">
        <f>E127-'січень '!M127</f>
        <v>1431.4220000000003</v>
      </c>
      <c r="N127" s="35">
        <f>F127-'січень '!N127</f>
        <v>1.8499999999999996</v>
      </c>
      <c r="O127" s="47">
        <f aca="true" t="shared" si="45" ref="O127:O134">N127-M127</f>
        <v>-1429.5720000000003</v>
      </c>
      <c r="P127" s="53">
        <f>N127/M127*100</f>
        <v>0.12924211029312105</v>
      </c>
      <c r="Q127" s="53">
        <f>N127-17.67</f>
        <v>-15.820000000000002</v>
      </c>
      <c r="R127" s="129">
        <f>N127/17.67</f>
        <v>0.1046972269383135</v>
      </c>
      <c r="S127" s="160">
        <f>F127</f>
        <v>11.84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0.32</v>
      </c>
      <c r="G128" s="43">
        <f t="shared" si="43"/>
        <v>0.32</v>
      </c>
      <c r="H128" s="35"/>
      <c r="I128" s="53">
        <f t="shared" si="44"/>
        <v>0.32</v>
      </c>
      <c r="J128" s="53"/>
      <c r="K128" s="53">
        <f>F128-(-0.21)</f>
        <v>0.53</v>
      </c>
      <c r="L128" s="53"/>
      <c r="M128" s="35">
        <f>E128-'січень '!M128</f>
        <v>0</v>
      </c>
      <c r="N128" s="35">
        <f>F128-'січень '!N128</f>
        <v>0.15</v>
      </c>
      <c r="O128" s="47">
        <f t="shared" si="45"/>
        <v>0.15</v>
      </c>
      <c r="P128" s="53"/>
      <c r="Q128" s="53">
        <f>N128-(-0.21)</f>
        <v>0.36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2862.84</v>
      </c>
      <c r="F129" s="145">
        <f>F127+F124+F128+F126</f>
        <v>12.16</v>
      </c>
      <c r="G129" s="55">
        <f t="shared" si="43"/>
        <v>-2850.6800000000003</v>
      </c>
      <c r="H129" s="65">
        <f>F129/E129*100</f>
        <v>0.4247530424333878</v>
      </c>
      <c r="I129" s="54">
        <f t="shared" si="44"/>
        <v>-8576.349</v>
      </c>
      <c r="J129" s="54">
        <f>F129/D129*100</f>
        <v>0.14158452881635217</v>
      </c>
      <c r="K129" s="54">
        <f>F129-26.38</f>
        <v>-14.219999999999999</v>
      </c>
      <c r="L129" s="54">
        <f>F129/26.38*100</f>
        <v>46.095526914329035</v>
      </c>
      <c r="M129" s="55">
        <f>M124+M127+M128+M126</f>
        <v>1431.4220000000003</v>
      </c>
      <c r="N129" s="55">
        <f>N124+N127+N128+N126</f>
        <v>1.9999999999999996</v>
      </c>
      <c r="O129" s="54">
        <f t="shared" si="45"/>
        <v>-1429.4220000000003</v>
      </c>
      <c r="P129" s="54">
        <f>N129/M129*100</f>
        <v>0.13972120031688762</v>
      </c>
      <c r="Q129" s="54">
        <f>N129-26.38</f>
        <v>-24.38</v>
      </c>
      <c r="R129" s="128">
        <f>N129/26.38</f>
        <v>0.07581501137225169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>E130-'січень '!M130</f>
        <v>0</v>
      </c>
      <c r="N130" s="35">
        <f>F130-'січень '!N130</f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>E131-'січень '!M131</f>
        <v>0</v>
      </c>
      <c r="N131" s="35">
        <f>F131-'січень '!N131</f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43"/>
        <v>0</v>
      </c>
      <c r="H132" s="35" t="e">
        <f>F132/E132*100</f>
        <v>#DIV/0!</v>
      </c>
      <c r="I132" s="53">
        <f t="shared" si="44"/>
        <v>0</v>
      </c>
      <c r="J132" s="53" t="e">
        <f>F132/D132*100</f>
        <v>#DIV/0!</v>
      </c>
      <c r="K132" s="53"/>
      <c r="L132" s="53"/>
      <c r="M132" s="35">
        <f>E132-'січень '!M132</f>
        <v>0</v>
      </c>
      <c r="N132" s="35">
        <f>F132-'січень '!N132</f>
        <v>0</v>
      </c>
      <c r="O132" s="47">
        <f t="shared" si="45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4340.56</v>
      </c>
      <c r="F133" s="148">
        <f>F116+F130+F123+F129+F132+F131</f>
        <v>10346.62</v>
      </c>
      <c r="G133" s="44">
        <f t="shared" si="43"/>
        <v>6006.06</v>
      </c>
      <c r="H133" s="45">
        <f>F133/E133*100</f>
        <v>238.37062498848076</v>
      </c>
      <c r="I133" s="31">
        <f t="shared" si="44"/>
        <v>-2675.0460000000003</v>
      </c>
      <c r="J133" s="31">
        <f>F133/D133*100</f>
        <v>79.45696042272931</v>
      </c>
      <c r="K133" s="31">
        <f>F133-8104.96</f>
        <v>2241.6600000000008</v>
      </c>
      <c r="L133" s="31">
        <f>F133/8104.96*100</f>
        <v>127.65787863234365</v>
      </c>
      <c r="M133" s="27">
        <f>M116+M130+M123+M129+M132+M131</f>
        <v>2170.2830000000004</v>
      </c>
      <c r="N133" s="27">
        <f>N116+N130+N123+N129+N132+N131</f>
        <v>1651.7800000000007</v>
      </c>
      <c r="O133" s="31">
        <f t="shared" si="45"/>
        <v>-518.5029999999997</v>
      </c>
      <c r="P133" s="31">
        <f>N133/M133*100</f>
        <v>76.108968277409</v>
      </c>
      <c r="Q133" s="31">
        <f>N133-8104.96</f>
        <v>-6453.179999999999</v>
      </c>
      <c r="R133" s="127">
        <f>N133/8104.96</f>
        <v>0.20379866156032858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53450.92999999999</v>
      </c>
      <c r="F134" s="148">
        <f>F106+F133</f>
        <v>50186.94</v>
      </c>
      <c r="G134" s="44">
        <f t="shared" si="43"/>
        <v>-3263.9899999999907</v>
      </c>
      <c r="H134" s="45">
        <f>F134/E134*100</f>
        <v>93.89348323780337</v>
      </c>
      <c r="I134" s="31">
        <f t="shared" si="44"/>
        <v>-159248.426</v>
      </c>
      <c r="J134" s="31">
        <f>F134/D134*100</f>
        <v>23.962972901147936</v>
      </c>
      <c r="K134" s="31">
        <f>F134-42872.96</f>
        <v>7313.980000000003</v>
      </c>
      <c r="L134" s="31">
        <f>F134/42872.96*100</f>
        <v>117.05965718252251</v>
      </c>
      <c r="M134" s="18">
        <f>M106+M133</f>
        <v>31509.702999999998</v>
      </c>
      <c r="N134" s="18">
        <f>N106+N133</f>
        <v>5379.1799999999985</v>
      </c>
      <c r="O134" s="31">
        <f t="shared" si="45"/>
        <v>-26130.523</v>
      </c>
      <c r="P134" s="31">
        <f>N134/M134*100</f>
        <v>17.07150333978076</v>
      </c>
      <c r="Q134" s="31">
        <f>N134-42872.96</f>
        <v>-37493.78</v>
      </c>
      <c r="R134" s="127">
        <f>N134/42872.96</f>
        <v>0.12546789398259411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17</v>
      </c>
      <c r="D136" s="4" t="s">
        <v>118</v>
      </c>
    </row>
    <row r="137" spans="2:17" ht="31.5">
      <c r="B137" s="71" t="s">
        <v>154</v>
      </c>
      <c r="C137" s="34">
        <f>IF(O106&lt;0,ABS(O106/C136),0)</f>
        <v>1506.5894117647058</v>
      </c>
      <c r="D137" s="4" t="s">
        <v>104</v>
      </c>
      <c r="G137" s="185"/>
      <c r="H137" s="185"/>
      <c r="I137" s="185"/>
      <c r="J137" s="18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42039</v>
      </c>
      <c r="D138" s="34">
        <v>1479.2</v>
      </c>
      <c r="N138" s="182"/>
      <c r="O138" s="182"/>
    </row>
    <row r="139" spans="3:15" ht="15.75">
      <c r="C139" s="111">
        <v>42038</v>
      </c>
      <c r="D139" s="34">
        <v>903.24</v>
      </c>
      <c r="F139" s="155" t="s">
        <v>166</v>
      </c>
      <c r="G139" s="178" t="s">
        <v>151</v>
      </c>
      <c r="H139" s="178"/>
      <c r="I139" s="106">
        <v>8909.73221</v>
      </c>
      <c r="J139" s="179" t="s">
        <v>161</v>
      </c>
      <c r="K139" s="179"/>
      <c r="L139" s="179"/>
      <c r="M139" s="179"/>
      <c r="N139" s="182"/>
      <c r="O139" s="182"/>
    </row>
    <row r="140" spans="3:15" ht="15.75">
      <c r="C140" s="111">
        <v>42037</v>
      </c>
      <c r="D140" s="34">
        <v>633.4</v>
      </c>
      <c r="G140" s="180" t="s">
        <v>155</v>
      </c>
      <c r="H140" s="180"/>
      <c r="I140" s="103">
        <v>0</v>
      </c>
      <c r="J140" s="181" t="s">
        <v>162</v>
      </c>
      <c r="K140" s="181"/>
      <c r="L140" s="181"/>
      <c r="M140" s="181"/>
      <c r="N140" s="182"/>
      <c r="O140" s="182"/>
    </row>
    <row r="141" spans="7:13" ht="15.75" customHeight="1">
      <c r="G141" s="178" t="s">
        <v>148</v>
      </c>
      <c r="H141" s="178"/>
      <c r="I141" s="103">
        <v>0</v>
      </c>
      <c r="J141" s="179" t="s">
        <v>163</v>
      </c>
      <c r="K141" s="179"/>
      <c r="L141" s="179"/>
      <c r="M141" s="179"/>
    </row>
    <row r="142" spans="2:13" ht="18.75" customHeight="1">
      <c r="B142" s="176" t="s">
        <v>160</v>
      </c>
      <c r="C142" s="177"/>
      <c r="D142" s="108">
        <v>134024.97167</v>
      </c>
      <c r="E142" s="73"/>
      <c r="F142" s="156" t="s">
        <v>147</v>
      </c>
      <c r="G142" s="178" t="s">
        <v>149</v>
      </c>
      <c r="H142" s="178"/>
      <c r="I142" s="107">
        <v>125115.23946000001</v>
      </c>
      <c r="J142" s="179" t="s">
        <v>164</v>
      </c>
      <c r="K142" s="179"/>
      <c r="L142" s="179"/>
      <c r="M142" s="179"/>
    </row>
    <row r="143" spans="7:12" ht="9.75" customHeight="1">
      <c r="G143" s="172"/>
      <c r="H143" s="172"/>
      <c r="I143" s="90"/>
      <c r="J143" s="91"/>
      <c r="K143" s="91"/>
      <c r="L143" s="91"/>
    </row>
    <row r="144" spans="2:12" ht="22.5" customHeight="1" hidden="1">
      <c r="B144" s="173" t="s">
        <v>167</v>
      </c>
      <c r="C144" s="174"/>
      <c r="D144" s="110">
        <v>0</v>
      </c>
      <c r="E144" s="70" t="s">
        <v>104</v>
      </c>
      <c r="G144" s="172"/>
      <c r="H144" s="172"/>
      <c r="I144" s="90"/>
      <c r="J144" s="91"/>
      <c r="K144" s="91"/>
      <c r="L144" s="91"/>
    </row>
    <row r="145" spans="4:15" ht="15.75">
      <c r="D145" s="105"/>
      <c r="N145" s="172"/>
      <c r="O145" s="172"/>
    </row>
    <row r="146" spans="4:15" ht="15.75">
      <c r="D146" s="104"/>
      <c r="I146" s="34"/>
      <c r="N146" s="175"/>
      <c r="O146" s="175"/>
    </row>
    <row r="147" spans="14:15" ht="15.75">
      <c r="N147" s="172"/>
      <c r="O147" s="17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19" right="0.18" top="0.35" bottom="0.39" header="0.17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9" sqref="B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95" t="s">
        <v>193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17"/>
      <c r="R1" s="118"/>
    </row>
    <row r="2" spans="2:18" s="1" customFormat="1" ht="15.75" customHeight="1">
      <c r="B2" s="196"/>
      <c r="C2" s="196"/>
      <c r="D2" s="19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7"/>
      <c r="B3" s="199" t="s">
        <v>205</v>
      </c>
      <c r="C3" s="200" t="s">
        <v>0</v>
      </c>
      <c r="D3" s="201" t="s">
        <v>190</v>
      </c>
      <c r="E3" s="40"/>
      <c r="F3" s="202" t="s">
        <v>107</v>
      </c>
      <c r="G3" s="203"/>
      <c r="H3" s="203"/>
      <c r="I3" s="203"/>
      <c r="J3" s="204"/>
      <c r="K3" s="114"/>
      <c r="L3" s="114"/>
      <c r="M3" s="205" t="s">
        <v>187</v>
      </c>
      <c r="N3" s="192" t="s">
        <v>175</v>
      </c>
      <c r="O3" s="192"/>
      <c r="P3" s="192"/>
      <c r="Q3" s="192"/>
      <c r="R3" s="192"/>
    </row>
    <row r="4" spans="1:18" ht="22.5" customHeight="1">
      <c r="A4" s="197"/>
      <c r="B4" s="199"/>
      <c r="C4" s="200"/>
      <c r="D4" s="201"/>
      <c r="E4" s="208" t="s">
        <v>153</v>
      </c>
      <c r="F4" s="193" t="s">
        <v>116</v>
      </c>
      <c r="G4" s="165" t="s">
        <v>173</v>
      </c>
      <c r="H4" s="163" t="s">
        <v>174</v>
      </c>
      <c r="I4" s="190" t="s">
        <v>186</v>
      </c>
      <c r="J4" s="186" t="s">
        <v>189</v>
      </c>
      <c r="K4" s="116" t="s">
        <v>172</v>
      </c>
      <c r="L4" s="121" t="s">
        <v>171</v>
      </c>
      <c r="M4" s="206"/>
      <c r="N4" s="188" t="s">
        <v>194</v>
      </c>
      <c r="O4" s="190" t="s">
        <v>136</v>
      </c>
      <c r="P4" s="192" t="s">
        <v>135</v>
      </c>
      <c r="Q4" s="122" t="s">
        <v>172</v>
      </c>
      <c r="R4" s="123" t="s">
        <v>171</v>
      </c>
    </row>
    <row r="5" spans="1:19" ht="92.25" customHeight="1">
      <c r="A5" s="198"/>
      <c r="B5" s="199"/>
      <c r="C5" s="200"/>
      <c r="D5" s="201"/>
      <c r="E5" s="209"/>
      <c r="F5" s="164"/>
      <c r="G5" s="162"/>
      <c r="H5" s="194"/>
      <c r="I5" s="191"/>
      <c r="J5" s="187"/>
      <c r="K5" s="183" t="s">
        <v>188</v>
      </c>
      <c r="L5" s="184"/>
      <c r="M5" s="207"/>
      <c r="N5" s="189"/>
      <c r="O5" s="191"/>
      <c r="P5" s="192"/>
      <c r="Q5" s="183" t="s">
        <v>176</v>
      </c>
      <c r="R5" s="184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6">
        <f>S123+S127+S10</f>
        <v>2626.7959999999985</v>
      </c>
      <c r="T106" s="161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8">
        <v>1855.3</v>
      </c>
      <c r="T107" s="169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7">
        <f>N108/8120.38</f>
        <v>0.8671995645523984</v>
      </c>
      <c r="S108" s="170"/>
      <c r="T108" s="171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60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60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85"/>
      <c r="H137" s="185"/>
      <c r="I137" s="185"/>
      <c r="J137" s="18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82"/>
      <c r="O138" s="182"/>
    </row>
    <row r="139" spans="3:15" ht="15.75">
      <c r="C139" s="111">
        <v>42033</v>
      </c>
      <c r="D139" s="34">
        <v>2896.5</v>
      </c>
      <c r="F139" s="155" t="s">
        <v>166</v>
      </c>
      <c r="G139" s="178" t="s">
        <v>151</v>
      </c>
      <c r="H139" s="178"/>
      <c r="I139" s="106">
        <f>8909.733</f>
        <v>8909.733</v>
      </c>
      <c r="J139" s="179" t="s">
        <v>161</v>
      </c>
      <c r="K139" s="179"/>
      <c r="L139" s="179"/>
      <c r="M139" s="179"/>
      <c r="N139" s="182"/>
      <c r="O139" s="182"/>
    </row>
    <row r="140" spans="3:15" ht="15.75">
      <c r="C140" s="111">
        <v>42032</v>
      </c>
      <c r="D140" s="34">
        <v>2838.1</v>
      </c>
      <c r="G140" s="180" t="s">
        <v>155</v>
      </c>
      <c r="H140" s="180"/>
      <c r="I140" s="103">
        <v>0</v>
      </c>
      <c r="J140" s="181" t="s">
        <v>162</v>
      </c>
      <c r="K140" s="181"/>
      <c r="L140" s="181"/>
      <c r="M140" s="181"/>
      <c r="N140" s="182"/>
      <c r="O140" s="182"/>
    </row>
    <row r="141" spans="7:13" ht="15.75" customHeight="1">
      <c r="G141" s="178" t="s">
        <v>148</v>
      </c>
      <c r="H141" s="178"/>
      <c r="I141" s="103">
        <v>0</v>
      </c>
      <c r="J141" s="179" t="s">
        <v>163</v>
      </c>
      <c r="K141" s="179"/>
      <c r="L141" s="179"/>
      <c r="M141" s="179"/>
    </row>
    <row r="142" spans="2:13" ht="18.75" customHeight="1">
      <c r="B142" s="176" t="s">
        <v>160</v>
      </c>
      <c r="C142" s="177"/>
      <c r="D142" s="108">
        <f>132375.63</f>
        <v>132375.63</v>
      </c>
      <c r="E142" s="73"/>
      <c r="F142" s="156" t="s">
        <v>147</v>
      </c>
      <c r="G142" s="178" t="s">
        <v>149</v>
      </c>
      <c r="H142" s="178"/>
      <c r="I142" s="107">
        <f>123465.893</f>
        <v>123465.893</v>
      </c>
      <c r="J142" s="179" t="s">
        <v>164</v>
      </c>
      <c r="K142" s="179"/>
      <c r="L142" s="179"/>
      <c r="M142" s="179"/>
    </row>
    <row r="143" spans="7:12" ht="9.75" customHeight="1">
      <c r="G143" s="172"/>
      <c r="H143" s="172"/>
      <c r="I143" s="90"/>
      <c r="J143" s="91"/>
      <c r="K143" s="91"/>
      <c r="L143" s="91"/>
    </row>
    <row r="144" spans="2:12" ht="22.5" customHeight="1" hidden="1">
      <c r="B144" s="173" t="s">
        <v>167</v>
      </c>
      <c r="C144" s="174"/>
      <c r="D144" s="110">
        <v>0</v>
      </c>
      <c r="E144" s="70" t="s">
        <v>104</v>
      </c>
      <c r="G144" s="172"/>
      <c r="H144" s="172"/>
      <c r="I144" s="90"/>
      <c r="J144" s="91"/>
      <c r="K144" s="91"/>
      <c r="L144" s="91"/>
    </row>
    <row r="145" spans="4:15" ht="15.75">
      <c r="D145" s="105"/>
      <c r="N145" s="172"/>
      <c r="O145" s="172"/>
    </row>
    <row r="146" spans="4:15" ht="15.75">
      <c r="D146" s="104"/>
      <c r="I146" s="34"/>
      <c r="N146" s="175"/>
      <c r="O146" s="175"/>
    </row>
    <row r="147" spans="14:15" ht="15.75">
      <c r="N147" s="172"/>
      <c r="O147" s="17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2015-02-05T14:03:05Z</cp:lastPrinted>
  <dcterms:created xsi:type="dcterms:W3CDTF">2003-07-28T11:27:56Z</dcterms:created>
  <dcterms:modified xsi:type="dcterms:W3CDTF">2015-02-05T14:14:34Z</dcterms:modified>
  <cp:category/>
  <cp:version/>
  <cp:contentType/>
  <cp:contentStatus/>
</cp:coreProperties>
</file>